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9bf9059051aa19e/Documents/8. post-Wharton/stocks/"/>
    </mc:Choice>
  </mc:AlternateContent>
  <xr:revisionPtr revIDLastSave="942" documentId="8_{04985DF5-6C25-46B0-BCC2-D3A2D4CC9A2E}" xr6:coauthVersionLast="47" xr6:coauthVersionMax="47" xr10:uidLastSave="{1C55F1CE-B435-4E42-8B9F-3CA2080EF63A}"/>
  <bookViews>
    <workbookView xWindow="20" yWindow="20" windowWidth="19180" windowHeight="11260" activeTab="1" xr2:uid="{2CC1127A-6564-4E00-A117-893EB4193143}"/>
  </bookViews>
  <sheets>
    <sheet name="Notes" sheetId="3" r:id="rId1"/>
    <sheet name="Nvidia" sheetId="1" r:id="rId2"/>
    <sheet name="Nvidia Customer Concentration" sheetId="2" r:id="rId3"/>
    <sheet name="Competitor Multipl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1" l="1"/>
  <c r="P30" i="1"/>
  <c r="O29" i="1"/>
  <c r="O30" i="1"/>
  <c r="I7" i="4"/>
  <c r="E19" i="4"/>
  <c r="D19" i="4"/>
  <c r="E15" i="4"/>
  <c r="F15" i="4"/>
  <c r="D15" i="4"/>
  <c r="G9" i="4"/>
  <c r="G7" i="4"/>
  <c r="R20" i="1"/>
  <c r="Q20" i="1" s="1"/>
  <c r="P20" i="1" s="1"/>
  <c r="P19" i="1"/>
  <c r="R19" i="1"/>
  <c r="D59" i="1"/>
  <c r="D46" i="1"/>
  <c r="D39" i="1"/>
  <c r="D38" i="1"/>
  <c r="D37" i="1"/>
  <c r="D36" i="1"/>
  <c r="D31" i="1"/>
  <c r="Q46" i="1"/>
  <c r="P46" i="1" s="1"/>
  <c r="O46" i="1" s="1"/>
  <c r="R46" i="1"/>
  <c r="AC43" i="1"/>
  <c r="AD43" i="1"/>
  <c r="AE43" i="1"/>
  <c r="AF43" i="1"/>
  <c r="AG43" i="1"/>
  <c r="AH43" i="1"/>
  <c r="AI43" i="1"/>
  <c r="AB43" i="1"/>
  <c r="P39" i="1"/>
  <c r="O39" i="1" s="1"/>
  <c r="Q39" i="1"/>
  <c r="R39" i="1"/>
  <c r="AH30" i="1"/>
  <c r="AG30" i="1"/>
  <c r="AF30" i="1"/>
  <c r="AE30" i="1"/>
  <c r="AD30" i="1"/>
  <c r="AC30" i="1"/>
  <c r="AB30" i="1"/>
  <c r="AI30" i="1"/>
  <c r="AH29" i="1"/>
  <c r="AG29" i="1"/>
  <c r="AF29" i="1"/>
  <c r="AE29" i="1"/>
  <c r="AD29" i="1"/>
  <c r="AC29" i="1"/>
  <c r="AB29" i="1"/>
  <c r="AI29" i="1"/>
  <c r="D23" i="1"/>
  <c r="D22" i="1"/>
  <c r="D21" i="1"/>
  <c r="O27" i="1"/>
  <c r="Q27" i="1"/>
  <c r="R27" i="1"/>
  <c r="Q23" i="1"/>
  <c r="P23" i="1" s="1"/>
  <c r="O23" i="1" s="1"/>
  <c r="R23" i="1"/>
  <c r="Q22" i="1"/>
  <c r="P22" i="1" s="1"/>
  <c r="O22" i="1" s="1"/>
  <c r="R22" i="1"/>
  <c r="Q21" i="1"/>
  <c r="P21" i="1" s="1"/>
  <c r="O21" i="1" s="1"/>
  <c r="R21" i="1"/>
  <c r="Q19" i="1"/>
  <c r="K10" i="1"/>
  <c r="L10" i="1"/>
  <c r="L9" i="1"/>
  <c r="K9" i="1"/>
  <c r="L16" i="1"/>
  <c r="K16" i="1"/>
  <c r="L15" i="1"/>
  <c r="K15" i="1"/>
  <c r="L14" i="1"/>
  <c r="K14" i="1"/>
  <c r="L13" i="1"/>
  <c r="K13" i="1"/>
  <c r="AC20" i="1"/>
  <c r="AD20" i="1"/>
  <c r="AG20" i="1"/>
  <c r="AH20" i="1"/>
  <c r="AC21" i="1"/>
  <c r="AD21" i="1"/>
  <c r="AG21" i="1"/>
  <c r="AH21" i="1"/>
  <c r="AC22" i="1"/>
  <c r="AD22" i="1"/>
  <c r="AG22" i="1"/>
  <c r="AH22" i="1"/>
  <c r="AC23" i="1"/>
  <c r="AD23" i="1"/>
  <c r="AG23" i="1"/>
  <c r="AH23" i="1"/>
  <c r="AC25" i="1"/>
  <c r="AD25" i="1"/>
  <c r="AG25" i="1"/>
  <c r="AH25" i="1"/>
  <c r="AC19" i="1"/>
  <c r="AD19" i="1"/>
  <c r="AG19" i="1"/>
  <c r="AH19" i="1"/>
  <c r="AC14" i="1"/>
  <c r="AD14" i="1"/>
  <c r="AG14" i="1"/>
  <c r="AH14" i="1"/>
  <c r="AC15" i="1"/>
  <c r="AD15" i="1"/>
  <c r="AG15" i="1"/>
  <c r="AH15" i="1"/>
  <c r="AC13" i="1"/>
  <c r="AD13" i="1"/>
  <c r="AG13" i="1"/>
  <c r="AH13" i="1"/>
  <c r="AG6" i="1"/>
  <c r="AH6" i="1" s="1"/>
  <c r="AI6" i="1" s="1"/>
  <c r="W43" i="1"/>
  <c r="S43" i="1"/>
  <c r="W38" i="1"/>
  <c r="W37" i="1"/>
  <c r="W36" i="1"/>
  <c r="S38" i="1"/>
  <c r="S37" i="1"/>
  <c r="S36" i="1"/>
  <c r="W30" i="1"/>
  <c r="W29" i="1"/>
  <c r="S30" i="1"/>
  <c r="S29" i="1"/>
  <c r="W25" i="1"/>
  <c r="AF25" i="1" s="1"/>
  <c r="W23" i="1"/>
  <c r="AE23" i="1" s="1"/>
  <c r="W22" i="1"/>
  <c r="AE22" i="1" s="1"/>
  <c r="W21" i="1"/>
  <c r="AE21" i="1" s="1"/>
  <c r="W20" i="1"/>
  <c r="AE20" i="1" s="1"/>
  <c r="W19" i="1"/>
  <c r="AE19" i="1" s="1"/>
  <c r="S25" i="1"/>
  <c r="AB25" i="1" s="1"/>
  <c r="S23" i="1"/>
  <c r="AB23" i="1" s="1"/>
  <c r="S22" i="1"/>
  <c r="AB22" i="1" s="1"/>
  <c r="S21" i="1"/>
  <c r="AB21" i="1" s="1"/>
  <c r="S20" i="1"/>
  <c r="AB20" i="1" s="1"/>
  <c r="S19" i="1"/>
  <c r="AB19" i="1" s="1"/>
  <c r="S15" i="1"/>
  <c r="AB15" i="1" s="1"/>
  <c r="S14" i="1"/>
  <c r="AB14" i="1" s="1"/>
  <c r="W15" i="1"/>
  <c r="AF15" i="1" s="1"/>
  <c r="W14" i="1"/>
  <c r="AE14" i="1" s="1"/>
  <c r="W13" i="1"/>
  <c r="AE13" i="1" s="1"/>
  <c r="S13" i="1"/>
  <c r="AB13" i="1" s="1"/>
  <c r="F17" i="1"/>
  <c r="G17" i="1"/>
  <c r="E17" i="1"/>
  <c r="Z24" i="1"/>
  <c r="AH24" i="1" s="1"/>
  <c r="V24" i="1"/>
  <c r="Z16" i="1"/>
  <c r="AH16" i="1" s="1"/>
  <c r="V16" i="1"/>
  <c r="AD16" i="1" s="1"/>
  <c r="Y26" i="1"/>
  <c r="Z39" i="1"/>
  <c r="V39" i="1"/>
  <c r="Z32" i="1"/>
  <c r="V32" i="1"/>
  <c r="X16" i="1"/>
  <c r="X17" i="1" s="1"/>
  <c r="T16" i="1"/>
  <c r="T17" i="1" s="1"/>
  <c r="Y17" i="1"/>
  <c r="U17" i="1"/>
  <c r="X24" i="1"/>
  <c r="X26" i="1" s="1"/>
  <c r="T24" i="1"/>
  <c r="T26" i="1" s="1"/>
  <c r="T27" i="1" s="1"/>
  <c r="U24" i="1"/>
  <c r="U26" i="1" s="1"/>
  <c r="Y39" i="1"/>
  <c r="U39" i="1"/>
  <c r="Y32" i="1"/>
  <c r="U32" i="1"/>
  <c r="X39" i="1"/>
  <c r="T39" i="1"/>
  <c r="X32" i="1"/>
  <c r="T32" i="1"/>
  <c r="X6" i="1"/>
  <c r="Y6" i="1" s="1"/>
  <c r="Z6" i="1" s="1"/>
  <c r="F11" i="1"/>
  <c r="G11" i="1"/>
  <c r="E11" i="1"/>
  <c r="K20" i="1"/>
  <c r="L20" i="1"/>
  <c r="K21" i="1"/>
  <c r="L21" i="1"/>
  <c r="K22" i="1"/>
  <c r="L22" i="1"/>
  <c r="K23" i="1"/>
  <c r="L23" i="1"/>
  <c r="K25" i="1"/>
  <c r="L25" i="1"/>
  <c r="L19" i="1"/>
  <c r="K19" i="1"/>
  <c r="E24" i="1"/>
  <c r="E26" i="1" s="1"/>
  <c r="E27" i="1" s="1"/>
  <c r="F24" i="1"/>
  <c r="F26" i="1" s="1"/>
  <c r="F27" i="1" s="1"/>
  <c r="G24" i="1"/>
  <c r="G26" i="1" s="1"/>
  <c r="G27" i="1" s="1"/>
  <c r="F66" i="1"/>
  <c r="G66" i="1"/>
  <c r="E66" i="1"/>
  <c r="G61" i="1"/>
  <c r="G59" i="1"/>
  <c r="F61" i="1"/>
  <c r="E61" i="1"/>
  <c r="F59" i="1"/>
  <c r="E59" i="1"/>
  <c r="F39" i="1"/>
  <c r="G39" i="1"/>
  <c r="E39" i="1"/>
  <c r="F32" i="1"/>
  <c r="G32" i="1"/>
  <c r="E32" i="1"/>
  <c r="R24" i="1" l="1"/>
  <c r="O20" i="1"/>
  <c r="D20" i="1" s="1"/>
  <c r="P24" i="1"/>
  <c r="R30" i="1"/>
  <c r="R26" i="1"/>
  <c r="R29" i="1"/>
  <c r="R32" i="1" s="1"/>
  <c r="AE25" i="1"/>
  <c r="AD24" i="1"/>
  <c r="W32" i="1"/>
  <c r="S39" i="1"/>
  <c r="W39" i="1"/>
  <c r="K11" i="1"/>
  <c r="K17" i="1"/>
  <c r="AG17" i="1"/>
  <c r="L17" i="1"/>
  <c r="AF13" i="1"/>
  <c r="V26" i="1"/>
  <c r="V27" i="1" s="1"/>
  <c r="S32" i="1"/>
  <c r="AF23" i="1"/>
  <c r="W16" i="1"/>
  <c r="AF16" i="1" s="1"/>
  <c r="X27" i="1"/>
  <c r="AG26" i="1"/>
  <c r="AG24" i="1"/>
  <c r="AC17" i="1"/>
  <c r="AE15" i="1"/>
  <c r="AF22" i="1"/>
  <c r="S24" i="1"/>
  <c r="AB24" i="1" s="1"/>
  <c r="Z17" i="1"/>
  <c r="AH17" i="1" s="1"/>
  <c r="AC24" i="1"/>
  <c r="AC26" i="1"/>
  <c r="AF19" i="1"/>
  <c r="AF20" i="1"/>
  <c r="V17" i="1"/>
  <c r="S17" i="1" s="1"/>
  <c r="AB17" i="1" s="1"/>
  <c r="Y27" i="1"/>
  <c r="S16" i="1"/>
  <c r="AB16" i="1" s="1"/>
  <c r="AG16" i="1"/>
  <c r="AF14" i="1"/>
  <c r="L11" i="1"/>
  <c r="W24" i="1"/>
  <c r="AC16" i="1"/>
  <c r="AF21" i="1"/>
  <c r="Y34" i="1"/>
  <c r="Y41" i="1" s="1"/>
  <c r="Y45" i="1" s="1"/>
  <c r="Y47" i="1" s="1"/>
  <c r="Z26" i="1"/>
  <c r="Z34" i="1" s="1"/>
  <c r="Z41" i="1" s="1"/>
  <c r="Z45" i="1" s="1"/>
  <c r="Z47" i="1" s="1"/>
  <c r="U27" i="1"/>
  <c r="U34" i="1"/>
  <c r="U41" i="1" s="1"/>
  <c r="U45" i="1" s="1"/>
  <c r="U47" i="1" s="1"/>
  <c r="T34" i="1"/>
  <c r="T41" i="1" s="1"/>
  <c r="T45" i="1" s="1"/>
  <c r="T47" i="1" s="1"/>
  <c r="X34" i="1"/>
  <c r="X41" i="1" s="1"/>
  <c r="X45" i="1" s="1"/>
  <c r="X47" i="1" s="1"/>
  <c r="M29" i="1"/>
  <c r="K26" i="1"/>
  <c r="M30" i="1"/>
  <c r="L30" i="1"/>
  <c r="L24" i="1"/>
  <c r="L29" i="1"/>
  <c r="L31" i="1"/>
  <c r="K29" i="1"/>
  <c r="K30" i="1"/>
  <c r="K24" i="1"/>
  <c r="L26" i="1"/>
  <c r="G62" i="1"/>
  <c r="E62" i="1"/>
  <c r="F62" i="1"/>
  <c r="F34" i="1"/>
  <c r="E34" i="1"/>
  <c r="G34" i="1"/>
  <c r="Q24" i="1" l="1"/>
  <c r="R34" i="1"/>
  <c r="R41" i="1" s="1"/>
  <c r="R43" i="1" s="1"/>
  <c r="O19" i="1"/>
  <c r="O24" i="1" s="1"/>
  <c r="D24" i="1" s="1"/>
  <c r="R25" i="1"/>
  <c r="S26" i="1"/>
  <c r="W17" i="1"/>
  <c r="AF17" i="1" s="1"/>
  <c r="AE16" i="1"/>
  <c r="V34" i="1"/>
  <c r="V41" i="1" s="1"/>
  <c r="V45" i="1" s="1"/>
  <c r="V47" i="1" s="1"/>
  <c r="Z27" i="1"/>
  <c r="AE17" i="1"/>
  <c r="AD26" i="1"/>
  <c r="W26" i="1"/>
  <c r="AE24" i="1"/>
  <c r="AF24" i="1"/>
  <c r="S34" i="1"/>
  <c r="S41" i="1" s="1"/>
  <c r="S45" i="1" s="1"/>
  <c r="S47" i="1" s="1"/>
  <c r="S27" i="1"/>
  <c r="AB26" i="1"/>
  <c r="AH26" i="1"/>
  <c r="AD17" i="1"/>
  <c r="G41" i="1"/>
  <c r="G45" i="1" s="1"/>
  <c r="G47" i="1" s="1"/>
  <c r="G51" i="1" s="1"/>
  <c r="G64" i="1"/>
  <c r="G68" i="1" s="1"/>
  <c r="G70" i="1" s="1"/>
  <c r="E41" i="1"/>
  <c r="E45" i="1" s="1"/>
  <c r="E47" i="1" s="1"/>
  <c r="E51" i="1" s="1"/>
  <c r="E64" i="1"/>
  <c r="E68" i="1" s="1"/>
  <c r="E70" i="1" s="1"/>
  <c r="F41" i="1"/>
  <c r="F45" i="1" s="1"/>
  <c r="F47" i="1" s="1"/>
  <c r="F51" i="1" s="1"/>
  <c r="F64" i="1"/>
  <c r="F68" i="1" s="1"/>
  <c r="F70" i="1" s="1"/>
  <c r="E71" i="1" s="1"/>
  <c r="Q29" i="1" l="1"/>
  <c r="Q26" i="1"/>
  <c r="Q25" i="1" s="1"/>
  <c r="Q30" i="1"/>
  <c r="R45" i="1"/>
  <c r="R47" i="1" s="1"/>
  <c r="P26" i="1"/>
  <c r="P25" i="1" s="1"/>
  <c r="D19" i="1"/>
  <c r="AF26" i="1"/>
  <c r="W34" i="1"/>
  <c r="W41" i="1" s="1"/>
  <c r="W45" i="1" s="1"/>
  <c r="W47" i="1" s="1"/>
  <c r="AE26" i="1"/>
  <c r="W27" i="1"/>
  <c r="Q32" i="1" l="1"/>
  <c r="Q34" i="1" s="1"/>
  <c r="Q41" i="1" s="1"/>
  <c r="Q43" i="1" s="1"/>
  <c r="Q45" i="1" s="1"/>
  <c r="Q47" i="1" s="1"/>
  <c r="O26" i="1"/>
  <c r="D30" i="1"/>
  <c r="O25" i="1"/>
  <c r="D25" i="1" s="1"/>
  <c r="P32" i="1"/>
  <c r="P34" i="1" s="1"/>
  <c r="P41" i="1" s="1"/>
  <c r="P43" i="1" l="1"/>
  <c r="P45" i="1" s="1"/>
  <c r="P47" i="1" s="1"/>
  <c r="D29" i="1"/>
  <c r="O32" i="1"/>
  <c r="D32" i="1" s="1"/>
  <c r="D26" i="1"/>
  <c r="O34" i="1" l="1"/>
  <c r="O41" i="1" s="1"/>
  <c r="O43" i="1" s="1"/>
  <c r="D43" i="1" s="1"/>
  <c r="D27" i="1"/>
  <c r="D34" i="1"/>
  <c r="D41" i="1" l="1"/>
  <c r="D45" i="1" s="1"/>
  <c r="D47" i="1" s="1"/>
  <c r="D49" i="1" s="1"/>
  <c r="D64" i="1"/>
  <c r="O45" i="1"/>
  <c r="O47" i="1" s="1"/>
  <c r="D61" i="1" l="1"/>
  <c r="D62" i="1" s="1"/>
  <c r="C2" i="1"/>
  <c r="D65" i="1"/>
  <c r="D68" i="1" s="1"/>
  <c r="D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Kash Rajagopal</author>
  </authors>
  <commentList>
    <comment ref="V19" authorId="0" shapeId="0" xr:uid="{430442EB-03C3-4884-9184-2DEDDA0EA83C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Nvidia Hopper and Ampere architectures drove LLM/GenAI uptick</t>
        </r>
      </text>
    </comment>
    <comment ref="F20" authorId="0" shapeId="0" xr:uid="{8969F6FD-DED7-4F8E-896E-82BB9BEEE187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Lower sell-in to partners to reduce channel inventory. Global macro reduced gaming demand</t>
        </r>
      </text>
    </comment>
    <comment ref="V20" authorId="0" shapeId="0" xr:uid="{F339F7BD-D460-4AE1-9459-789DEF631C05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GeForce RTX 40 Series GPUs for desktop/laptop based on Ada Lovelace architecture drove recovery. Drop yoy from weakened macro</t>
        </r>
      </text>
    </comment>
    <comment ref="O24" authorId="0" shapeId="0" xr:uid="{C41D6954-FC7F-4077-8BE6-BBFC1C455DD6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Bakes in loss of largest customer midway through FY2025 to be conservative</t>
        </r>
      </text>
    </comment>
    <comment ref="P24" authorId="0" shapeId="0" xr:uid="{1CB2F9D0-C717-40D6-BCE7-847950F8E57D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Bakes in loss of largest customer midway through FY2025 to be conservative</t>
        </r>
      </text>
    </comment>
    <comment ref="D51" authorId="0" shapeId="0" xr:uid="{59E85F5C-7E65-4F68-8DFC-730A3B98CD8E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Bakes in multiple compression as other players emerge on the scene to compete</t>
        </r>
      </text>
    </comment>
    <comment ref="D59" authorId="0" shapeId="0" xr:uid="{EFFA6DD7-C361-4173-A3C7-3CBF04CD5B73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Just an estimate, determining exact net debt isn't important given the magnitude of market cap</t>
        </r>
      </text>
    </comment>
    <comment ref="D70" authorId="0" shapeId="0" xr:uid="{F39B7E21-4175-46F2-BA90-ED6B9010BFF1}">
      <text>
        <r>
          <rPr>
            <b/>
            <sz val="9"/>
            <color indexed="81"/>
            <rFont val="Tahoma"/>
            <family val="2"/>
          </rPr>
          <t>Kash Rajagopal:</t>
        </r>
        <r>
          <rPr>
            <sz val="9"/>
            <color indexed="81"/>
            <rFont val="Tahoma"/>
            <family val="2"/>
          </rPr>
          <t xml:space="preserve">
This is an undervalued stock in Feb-25, driving upward pressure on the price</t>
        </r>
      </text>
    </comment>
  </commentList>
</comments>
</file>

<file path=xl/sharedStrings.xml><?xml version="1.0" encoding="utf-8"?>
<sst xmlns="http://schemas.openxmlformats.org/spreadsheetml/2006/main" count="127" uniqueCount="95">
  <si>
    <t>Revenue</t>
  </si>
  <si>
    <t>Cost of revenue</t>
  </si>
  <si>
    <t>Gross Profit</t>
  </si>
  <si>
    <t>R&amp;D</t>
  </si>
  <si>
    <t>SG&amp;A</t>
  </si>
  <si>
    <t>acquisition termination cost</t>
  </si>
  <si>
    <t>$ millions</t>
  </si>
  <si>
    <t>Total Opex</t>
  </si>
  <si>
    <t>Operating Income</t>
  </si>
  <si>
    <t>interest income</t>
  </si>
  <si>
    <t>interest expense</t>
  </si>
  <si>
    <t>other net income</t>
  </si>
  <si>
    <t>Net Other Income</t>
  </si>
  <si>
    <t>PBT</t>
  </si>
  <si>
    <t>Less: taxes (benefit)</t>
  </si>
  <si>
    <t>Net Income</t>
  </si>
  <si>
    <t>Diluted shares outstanding</t>
  </si>
  <si>
    <t>EPS</t>
  </si>
  <si>
    <t>Price</t>
  </si>
  <si>
    <t>Balance Sheet</t>
  </si>
  <si>
    <t>Cash</t>
  </si>
  <si>
    <t>marketable securities</t>
  </si>
  <si>
    <t>short term debt</t>
  </si>
  <si>
    <t>long term debt</t>
  </si>
  <si>
    <t>LT operating lease liabilities</t>
  </si>
  <si>
    <t>Net Debt</t>
  </si>
  <si>
    <t>P/E</t>
  </si>
  <si>
    <t>Enterprise Value</t>
  </si>
  <si>
    <t>Market Cap</t>
  </si>
  <si>
    <t>Plus: D&amp;A</t>
  </si>
  <si>
    <t>Plus: One-Time</t>
  </si>
  <si>
    <t>Plus: SBC</t>
  </si>
  <si>
    <t>Data Center</t>
  </si>
  <si>
    <t>Gaming</t>
  </si>
  <si>
    <t>Professional Visualization</t>
  </si>
  <si>
    <t>Automotive</t>
  </si>
  <si>
    <t>OEM and Other</t>
  </si>
  <si>
    <t>% of revenue</t>
  </si>
  <si>
    <t>% growth</t>
  </si>
  <si>
    <t>Compute and Networking</t>
  </si>
  <si>
    <t>Graphics</t>
  </si>
  <si>
    <t>Total Revenue</t>
  </si>
  <si>
    <t>NVIDIA Hopper GPU computing platform shipments for training of LLMs/genAI. Also InfiniBand driving networking up 133%</t>
  </si>
  <si>
    <t>No customers with &gt;10% of revenue for 2022 and 2023</t>
  </si>
  <si>
    <t>1 direct customer comprises 13% of 2024 revenue</t>
  </si>
  <si>
    <t>One indirect customer comprises 19% of 2024 revenue- purchase through customer above</t>
  </si>
  <si>
    <t>4Q</t>
  </si>
  <si>
    <t>3Q</t>
  </si>
  <si>
    <t>2Q</t>
  </si>
  <si>
    <t>1Q</t>
  </si>
  <si>
    <t>2024 10-K</t>
  </si>
  <si>
    <t>2024 3Q</t>
  </si>
  <si>
    <t xml:space="preserve">Customer A - 12% of total revenue </t>
  </si>
  <si>
    <t>Customer B - 11% of 2024 9M revenue</t>
  </si>
  <si>
    <t>gross margin</t>
  </si>
  <si>
    <t>US</t>
  </si>
  <si>
    <t>Taiwan</t>
  </si>
  <si>
    <t>China (incl HK)</t>
  </si>
  <si>
    <t>Other Countries</t>
  </si>
  <si>
    <t>Adj EBITDA</t>
  </si>
  <si>
    <t>AV/Adj EBITDA</t>
  </si>
  <si>
    <t>Gross margins dipped through FY2023 - will we see a similar dip in FY2025?</t>
  </si>
  <si>
    <t>How do we factor in the loss of or price pressure exerted by Customer A and B? Does this contribute to a lower stock price?</t>
  </si>
  <si>
    <t>What's the right multiple to use? Look to AMD and Intel for a comparison</t>
  </si>
  <si>
    <t>Qoq Growth Rate</t>
  </si>
  <si>
    <t>Quarterly Financials</t>
  </si>
  <si>
    <t>Annual Historicals Plus Projections</t>
  </si>
  <si>
    <t>% of PBT</t>
  </si>
  <si>
    <t>What do we expect net income to look like in the next year? Use quarterly financials to project</t>
  </si>
  <si>
    <t>2024 1Q</t>
  </si>
  <si>
    <t>No customer represented &gt;10% of revenue BUT - 2 customers repped 12% and 10% of the AR balance.</t>
  </si>
  <si>
    <t>This customer concentration issue feeds the rest of 2024 revenue</t>
  </si>
  <si>
    <t>2025P</t>
  </si>
  <si>
    <t>2026P</t>
  </si>
  <si>
    <t>customer loss factored into revenue model, done</t>
  </si>
  <si>
    <t>FY2023 - we saw revenue stagnate for Data Center and dip for Gaming and Professional Visualization. Why the lackluster performance? Will it repeat?</t>
  </si>
  <si>
    <t>done, see next page</t>
  </si>
  <si>
    <t>not that big a deal, lower gross margins due to inventory provisions- already baked into model</t>
  </si>
  <si>
    <t>Lower revenue due to global macro environment, less gaming and professional visualization. Could see gaming decline happen again</t>
  </si>
  <si>
    <t>&gt;</t>
  </si>
  <si>
    <t>Data Center revenue is lifted up now by AI craze. Google and OpenAI engineers have gotten used to NVIDIA chips - why would they stop using them after training hard? Also, deep pockets</t>
  </si>
  <si>
    <t>How sticky is NVIDIA?</t>
  </si>
  <si>
    <t>CUDA is an API framework tied to Nvidia hardware so all the software built on top plugs into CUDA, making it difficult to switch to AMD</t>
  </si>
  <si>
    <t>Even though "AMD is better bang for buck" says one Quora user</t>
  </si>
  <si>
    <t>The ML community builds software to support CUDA first and others as an afterthought</t>
  </si>
  <si>
    <t>Main question: Will Nvidia's share price go up significantly in the next year?</t>
  </si>
  <si>
    <t>AMD Financials</t>
  </si>
  <si>
    <t>Price (over time)</t>
  </si>
  <si>
    <t>non-GAAP EPS</t>
  </si>
  <si>
    <t>Intel is a small budget competitor alternative - not a good comp</t>
  </si>
  <si>
    <t>AMD's P/E is too high, even if you think it will grow off the back of Nvidia's success. It's also a small competitor right now. Will it grow? Maybe a little, but Nvidia will remain top dog</t>
  </si>
  <si>
    <t>Shareholder Value Increase:</t>
  </si>
  <si>
    <t>&lt;- HIGHLY CONSERVATIVE, ASSUMES BIGGEST CUSTOMER LOSS AND GAMING DECLINE</t>
  </si>
  <si>
    <t>$ in billions</t>
  </si>
  <si>
    <t>P/E is way too high for AMD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</si>
</sst>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\x;\ \(0.0\x\);\ \-\-"/>
    <numFmt numFmtId="166" formatCode="0.0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11"/>
      <color rgb="FF0000FF"/>
      <name val="Aptos Narrow"/>
      <family val="2"/>
      <scheme val="minor"/>
    </font>
    <font>
      <sz val="11"/>
      <color rgb="FF7030A0"/>
      <name val="Aptos Narrow"/>
      <family val="2"/>
      <scheme val="minor"/>
    </font>
    <font>
      <i/>
      <sz val="11"/>
      <color rgb="FF7030A0"/>
      <name val="Aptos Narrow"/>
      <family val="2"/>
      <scheme val="minor"/>
    </font>
    <font>
      <sz val="11"/>
      <name val="Aptos Narrow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4" fillId="0" borderId="0" xfId="0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4" fillId="2" borderId="0" xfId="0" applyFont="1" applyFill="1"/>
    <xf numFmtId="0" fontId="0" fillId="2" borderId="0" xfId="0" applyFill="1"/>
    <xf numFmtId="0" fontId="0" fillId="2" borderId="1" xfId="0" applyFill="1" applyBorder="1"/>
    <xf numFmtId="16" fontId="0" fillId="2" borderId="1" xfId="0" applyNumberFormat="1" applyFill="1" applyBorder="1"/>
    <xf numFmtId="165" fontId="0" fillId="0" borderId="0" xfId="0" applyNumberFormat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164" fontId="0" fillId="0" borderId="1" xfId="1" applyNumberFormat="1" applyFont="1" applyBorder="1"/>
    <xf numFmtId="9" fontId="0" fillId="0" borderId="0" xfId="2" applyFont="1"/>
    <xf numFmtId="9" fontId="0" fillId="0" borderId="1" xfId="2" applyFont="1" applyBorder="1"/>
    <xf numFmtId="9" fontId="4" fillId="0" borderId="0" xfId="2" applyFont="1"/>
    <xf numFmtId="0" fontId="6" fillId="2" borderId="0" xfId="0" applyFont="1" applyFill="1"/>
    <xf numFmtId="0" fontId="6" fillId="2" borderId="1" xfId="0" applyFont="1" applyFill="1" applyBorder="1"/>
    <xf numFmtId="0" fontId="0" fillId="3" borderId="0" xfId="0" applyFill="1"/>
    <xf numFmtId="165" fontId="0" fillId="3" borderId="0" xfId="0" applyNumberFormat="1" applyFill="1"/>
    <xf numFmtId="16" fontId="0" fillId="2" borderId="1" xfId="0" applyNumberFormat="1" applyFill="1" applyBorder="1" applyAlignment="1">
      <alignment horizontal="right"/>
    </xf>
    <xf numFmtId="164" fontId="7" fillId="0" borderId="0" xfId="1" applyNumberFormat="1" applyFont="1"/>
    <xf numFmtId="164" fontId="7" fillId="0" borderId="1" xfId="1" applyNumberFormat="1" applyFont="1" applyBorder="1"/>
    <xf numFmtId="164" fontId="7" fillId="0" borderId="1" xfId="0" applyNumberFormat="1" applyFont="1" applyBorder="1"/>
    <xf numFmtId="9" fontId="4" fillId="0" borderId="1" xfId="2" applyFont="1" applyBorder="1"/>
    <xf numFmtId="14" fontId="4" fillId="2" borderId="0" xfId="0" applyNumberFormat="1" applyFont="1" applyFill="1"/>
    <xf numFmtId="164" fontId="8" fillId="0" borderId="0" xfId="0" applyNumberFormat="1" applyFont="1"/>
    <xf numFmtId="0" fontId="3" fillId="2" borderId="0" xfId="0" applyFont="1" applyFill="1"/>
    <xf numFmtId="164" fontId="8" fillId="0" borderId="1" xfId="0" applyNumberFormat="1" applyFont="1" applyBorder="1"/>
    <xf numFmtId="43" fontId="10" fillId="0" borderId="0" xfId="0" applyNumberFormat="1" applyFont="1"/>
    <xf numFmtId="0" fontId="0" fillId="4" borderId="0" xfId="0" applyFill="1"/>
    <xf numFmtId="0" fontId="0" fillId="4" borderId="1" xfId="0" applyFill="1" applyBorder="1"/>
    <xf numFmtId="0" fontId="6" fillId="0" borderId="0" xfId="0" applyFont="1"/>
    <xf numFmtId="164" fontId="7" fillId="0" borderId="0" xfId="0" applyNumberFormat="1" applyFont="1"/>
    <xf numFmtId="0" fontId="7" fillId="0" borderId="1" xfId="0" applyFont="1" applyBorder="1"/>
    <xf numFmtId="164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166" fontId="0" fillId="0" borderId="0" xfId="0" applyNumberFormat="1"/>
    <xf numFmtId="2" fontId="0" fillId="0" borderId="0" xfId="0" applyNumberFormat="1"/>
    <xf numFmtId="0" fontId="14" fillId="3" borderId="0" xfId="0" applyFont="1" applyFill="1"/>
    <xf numFmtId="9" fontId="14" fillId="3" borderId="0" xfId="2" applyFont="1" applyFill="1"/>
    <xf numFmtId="165" fontId="2" fillId="3" borderId="0" xfId="0" applyNumberFormat="1" applyFont="1" applyFill="1"/>
    <xf numFmtId="164" fontId="8" fillId="3" borderId="0" xfId="0" applyNumberFormat="1" applyFont="1" applyFill="1"/>
    <xf numFmtId="164" fontId="8" fillId="3" borderId="0" xfId="1" applyNumberFormat="1" applyFont="1" applyFill="1"/>
    <xf numFmtId="164" fontId="8" fillId="3" borderId="1" xfId="0" applyNumberFormat="1" applyFont="1" applyFill="1" applyBorder="1"/>
    <xf numFmtId="9" fontId="9" fillId="3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A6EB-22AE-4E4C-B22F-A0DC95596A5D}">
  <dimension ref="A2:O22"/>
  <sheetViews>
    <sheetView workbookViewId="0">
      <selection activeCell="J1" sqref="J1"/>
    </sheetView>
  </sheetViews>
  <sheetFormatPr defaultRowHeight="14.5" x14ac:dyDescent="0.35"/>
  <sheetData>
    <row r="2" spans="1:15" x14ac:dyDescent="0.35">
      <c r="B2" s="8" t="s">
        <v>85</v>
      </c>
    </row>
    <row r="4" spans="1:15" x14ac:dyDescent="0.35">
      <c r="A4">
        <v>1</v>
      </c>
      <c r="B4" t="s">
        <v>68</v>
      </c>
      <c r="K4" s="7" t="s">
        <v>76</v>
      </c>
    </row>
    <row r="6" spans="1:15" x14ac:dyDescent="0.35">
      <c r="A6">
        <v>2</v>
      </c>
      <c r="B6" t="s">
        <v>61</v>
      </c>
      <c r="I6" s="7" t="s">
        <v>77</v>
      </c>
    </row>
    <row r="8" spans="1:15" x14ac:dyDescent="0.35">
      <c r="A8">
        <v>3</v>
      </c>
      <c r="B8" s="42" t="s">
        <v>75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x14ac:dyDescent="0.35">
      <c r="B9" s="43" t="s">
        <v>79</v>
      </c>
      <c r="C9" s="7" t="s">
        <v>78</v>
      </c>
    </row>
    <row r="10" spans="1:15" x14ac:dyDescent="0.35">
      <c r="B10" s="43" t="s">
        <v>79</v>
      </c>
      <c r="C10" s="7" t="s">
        <v>80</v>
      </c>
    </row>
    <row r="12" spans="1:15" x14ac:dyDescent="0.35">
      <c r="A12">
        <v>4</v>
      </c>
      <c r="B12" s="42" t="s">
        <v>63</v>
      </c>
      <c r="C12" s="42"/>
      <c r="D12" s="42"/>
      <c r="E12" s="42"/>
      <c r="F12" s="42"/>
      <c r="G12" s="42"/>
      <c r="H12" s="42"/>
      <c r="I12" s="42"/>
    </row>
    <row r="13" spans="1:15" x14ac:dyDescent="0.35">
      <c r="B13" s="43" t="s">
        <v>79</v>
      </c>
      <c r="C13" s="7" t="s">
        <v>89</v>
      </c>
    </row>
    <row r="14" spans="1:15" x14ac:dyDescent="0.35">
      <c r="B14" s="43" t="s">
        <v>79</v>
      </c>
      <c r="C14" s="7" t="s">
        <v>90</v>
      </c>
    </row>
    <row r="16" spans="1:15" x14ac:dyDescent="0.35">
      <c r="A16">
        <v>5</v>
      </c>
      <c r="B16" t="s">
        <v>62</v>
      </c>
    </row>
    <row r="17" spans="1:14" x14ac:dyDescent="0.35">
      <c r="B17" s="43" t="s">
        <v>79</v>
      </c>
      <c r="C17" s="7" t="s">
        <v>74</v>
      </c>
      <c r="N17" s="7"/>
    </row>
    <row r="19" spans="1:14" x14ac:dyDescent="0.35">
      <c r="A19">
        <v>6</v>
      </c>
      <c r="B19" t="s">
        <v>81</v>
      </c>
    </row>
    <row r="20" spans="1:14" x14ac:dyDescent="0.35">
      <c r="B20" s="43" t="s">
        <v>79</v>
      </c>
      <c r="C20" s="7" t="s">
        <v>82</v>
      </c>
    </row>
    <row r="21" spans="1:14" x14ac:dyDescent="0.35">
      <c r="B21" s="43" t="s">
        <v>79</v>
      </c>
      <c r="C21" s="7" t="s">
        <v>83</v>
      </c>
    </row>
    <row r="22" spans="1:14" x14ac:dyDescent="0.35">
      <c r="B22" s="43" t="s">
        <v>79</v>
      </c>
      <c r="C22" s="7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CFBD-E25F-484E-9119-3D3C24D6F5D8}">
  <dimension ref="B2:AK71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4.5" outlineLevelRow="1" x14ac:dyDescent="0.35"/>
  <cols>
    <col min="2" max="2" width="30.6328125" customWidth="1"/>
    <col min="3" max="4" width="10.1796875" customWidth="1"/>
    <col min="5" max="5" width="10.1796875" bestFit="1" customWidth="1"/>
    <col min="6" max="7" width="9.1796875" bestFit="1" customWidth="1"/>
    <col min="9" max="13" width="10.6328125" customWidth="1"/>
    <col min="15" max="16" width="10.1796875" bestFit="1" customWidth="1"/>
    <col min="17" max="17" width="9.1796875" bestFit="1" customWidth="1"/>
    <col min="18" max="18" width="10.1796875" bestFit="1" customWidth="1"/>
    <col min="19" max="19" width="10.1796875" customWidth="1"/>
    <col min="20" max="20" width="11.453125" customWidth="1"/>
    <col min="21" max="26" width="10.1796875" customWidth="1"/>
  </cols>
  <sheetData>
    <row r="2" spans="2:37" ht="18.5" x14ac:dyDescent="0.45">
      <c r="B2" s="46" t="s">
        <v>91</v>
      </c>
      <c r="C2" s="47">
        <f>D49/E49-1</f>
        <v>0.16581855906065801</v>
      </c>
      <c r="D2" s="41" t="s">
        <v>92</v>
      </c>
    </row>
    <row r="4" spans="2:37" x14ac:dyDescent="0.35">
      <c r="B4" s="31" t="s">
        <v>66</v>
      </c>
      <c r="C4" s="31"/>
      <c r="D4" s="31"/>
      <c r="E4" s="31"/>
      <c r="F4" s="31"/>
      <c r="G4" s="31"/>
      <c r="O4" s="20" t="s">
        <v>65</v>
      </c>
      <c r="P4" s="9"/>
      <c r="Q4" s="9"/>
      <c r="R4" s="20"/>
      <c r="S4" s="20"/>
      <c r="T4" s="9"/>
      <c r="U4" s="9"/>
      <c r="V4" s="9"/>
      <c r="W4" s="9"/>
      <c r="X4" s="9"/>
      <c r="Y4" s="9"/>
      <c r="Z4" s="9"/>
      <c r="AB4" s="20" t="s">
        <v>64</v>
      </c>
      <c r="AC4" s="9"/>
      <c r="AD4" s="9"/>
      <c r="AE4" s="9"/>
      <c r="AF4" s="9"/>
      <c r="AG4" s="9"/>
      <c r="AH4" s="9"/>
      <c r="AI4" s="9"/>
    </row>
    <row r="5" spans="2:37" x14ac:dyDescent="0.35">
      <c r="B5" s="9" t="s">
        <v>6</v>
      </c>
      <c r="C5" s="9"/>
      <c r="D5" s="9"/>
      <c r="E5" s="10"/>
      <c r="F5" s="10"/>
      <c r="G5" s="10"/>
      <c r="I5" s="20" t="s">
        <v>38</v>
      </c>
      <c r="J5" s="9"/>
      <c r="K5" s="29">
        <v>45343</v>
      </c>
      <c r="L5" s="29">
        <v>44981</v>
      </c>
      <c r="M5" s="10"/>
      <c r="O5" s="9"/>
      <c r="P5" s="9"/>
      <c r="Q5" s="9"/>
      <c r="R5" s="9"/>
      <c r="S5" s="9"/>
      <c r="T5" s="29">
        <v>45251</v>
      </c>
      <c r="U5" s="29">
        <v>45166</v>
      </c>
      <c r="V5" s="29">
        <v>45072</v>
      </c>
      <c r="W5" s="9"/>
      <c r="X5" s="9"/>
      <c r="Y5" s="9"/>
      <c r="Z5" s="9"/>
      <c r="AB5" s="9"/>
      <c r="AC5" s="9"/>
      <c r="AD5" s="9"/>
      <c r="AE5" s="9"/>
      <c r="AF5" s="9"/>
      <c r="AG5" s="9"/>
      <c r="AH5" s="9"/>
      <c r="AI5" s="9"/>
    </row>
    <row r="6" spans="2:37" x14ac:dyDescent="0.35">
      <c r="B6" s="10"/>
      <c r="C6" s="40" t="s">
        <v>73</v>
      </c>
      <c r="D6" s="40" t="s">
        <v>72</v>
      </c>
      <c r="E6" s="10">
        <v>2024</v>
      </c>
      <c r="F6" s="10">
        <v>2023</v>
      </c>
      <c r="G6" s="10">
        <v>2022</v>
      </c>
      <c r="I6" s="10">
        <v>2026</v>
      </c>
      <c r="J6" s="10">
        <v>2025</v>
      </c>
      <c r="K6" s="10">
        <v>2024</v>
      </c>
      <c r="L6" s="10">
        <v>2023</v>
      </c>
      <c r="M6" s="10">
        <v>2022</v>
      </c>
      <c r="O6" s="10">
        <v>2025</v>
      </c>
      <c r="P6" s="10">
        <v>2025</v>
      </c>
      <c r="Q6" s="10">
        <v>2025</v>
      </c>
      <c r="R6" s="10">
        <v>2025</v>
      </c>
      <c r="S6" s="10">
        <v>2024</v>
      </c>
      <c r="T6" s="10">
        <v>2024</v>
      </c>
      <c r="U6" s="10">
        <v>2024</v>
      </c>
      <c r="V6" s="10">
        <v>2024</v>
      </c>
      <c r="W6" s="10">
        <v>2023</v>
      </c>
      <c r="X6" s="10">
        <f>W6</f>
        <v>2023</v>
      </c>
      <c r="Y6" s="10">
        <f t="shared" ref="Y6:Z6" si="0">X6</f>
        <v>2023</v>
      </c>
      <c r="Z6" s="10">
        <f t="shared" si="0"/>
        <v>2023</v>
      </c>
      <c r="AB6" s="10">
        <v>2024</v>
      </c>
      <c r="AC6" s="10">
        <v>2024</v>
      </c>
      <c r="AD6" s="10">
        <v>2024</v>
      </c>
      <c r="AE6" s="10">
        <v>2024</v>
      </c>
      <c r="AF6" s="10">
        <v>2023</v>
      </c>
      <c r="AG6" s="10">
        <f>AF6</f>
        <v>2023</v>
      </c>
      <c r="AH6" s="10">
        <f t="shared" ref="AH6:AI6" si="1">AG6</f>
        <v>2023</v>
      </c>
      <c r="AI6" s="10">
        <f t="shared" si="1"/>
        <v>2023</v>
      </c>
    </row>
    <row r="7" spans="2:37" x14ac:dyDescent="0.35">
      <c r="B7" s="11"/>
      <c r="C7" s="12">
        <v>46052</v>
      </c>
      <c r="D7" s="12">
        <v>45687</v>
      </c>
      <c r="E7" s="12">
        <v>45319</v>
      </c>
      <c r="F7" s="12">
        <v>45320</v>
      </c>
      <c r="G7" s="12">
        <v>44591</v>
      </c>
      <c r="I7" s="12">
        <v>46052</v>
      </c>
      <c r="J7" s="12">
        <v>45687</v>
      </c>
      <c r="K7" s="12">
        <v>45319</v>
      </c>
      <c r="L7" s="12">
        <v>45320</v>
      </c>
      <c r="M7" s="12">
        <v>44591</v>
      </c>
      <c r="O7" s="24" t="s">
        <v>46</v>
      </c>
      <c r="P7" s="24" t="s">
        <v>47</v>
      </c>
      <c r="Q7" s="24" t="s">
        <v>48</v>
      </c>
      <c r="R7" s="24" t="s">
        <v>49</v>
      </c>
      <c r="S7" s="24" t="s">
        <v>46</v>
      </c>
      <c r="T7" s="24" t="s">
        <v>47</v>
      </c>
      <c r="U7" s="24" t="s">
        <v>48</v>
      </c>
      <c r="V7" s="24" t="s">
        <v>49</v>
      </c>
      <c r="W7" s="24" t="s">
        <v>46</v>
      </c>
      <c r="X7" s="24" t="s">
        <v>47</v>
      </c>
      <c r="Y7" s="24" t="s">
        <v>48</v>
      </c>
      <c r="Z7" s="24" t="s">
        <v>49</v>
      </c>
      <c r="AB7" s="24" t="s">
        <v>46</v>
      </c>
      <c r="AC7" s="24" t="s">
        <v>47</v>
      </c>
      <c r="AD7" s="24" t="s">
        <v>48</v>
      </c>
      <c r="AE7" s="24" t="s">
        <v>49</v>
      </c>
      <c r="AF7" s="24" t="s">
        <v>46</v>
      </c>
      <c r="AG7" s="24" t="s">
        <v>47</v>
      </c>
      <c r="AH7" s="24" t="s">
        <v>48</v>
      </c>
      <c r="AI7" s="24" t="s">
        <v>49</v>
      </c>
    </row>
    <row r="9" spans="2:37" hidden="1" outlineLevel="1" x14ac:dyDescent="0.35">
      <c r="B9" s="14" t="s">
        <v>39</v>
      </c>
      <c r="E9" s="1">
        <v>47405</v>
      </c>
      <c r="F9" s="1">
        <v>15068</v>
      </c>
      <c r="G9" s="1">
        <v>32337</v>
      </c>
      <c r="K9" s="17">
        <f t="shared" ref="K9" si="2">E9/F9-1</f>
        <v>2.1460711441465357</v>
      </c>
      <c r="L9" s="17">
        <f t="shared" ref="L9" si="3">F9/G9-1</f>
        <v>-0.53403222314995213</v>
      </c>
      <c r="AK9" t="s">
        <v>42</v>
      </c>
    </row>
    <row r="10" spans="2:37" hidden="1" outlineLevel="1" x14ac:dyDescent="0.35">
      <c r="B10" s="15" t="s">
        <v>40</v>
      </c>
      <c r="C10" s="3"/>
      <c r="D10" s="3"/>
      <c r="E10" s="16">
        <v>13517</v>
      </c>
      <c r="F10" s="16">
        <v>11906</v>
      </c>
      <c r="G10" s="16">
        <v>1611</v>
      </c>
      <c r="I10" s="3"/>
      <c r="J10" s="3"/>
      <c r="K10" s="18">
        <f t="shared" ref="K10:K11" si="4">E10/F10-1</f>
        <v>0.13530992776751227</v>
      </c>
      <c r="L10" s="18">
        <f t="shared" ref="L10:L11" si="5">F10/G10-1</f>
        <v>6.3904407200496589</v>
      </c>
      <c r="M10" s="3"/>
      <c r="S10" s="3"/>
      <c r="T10" s="3"/>
      <c r="U10" s="3"/>
      <c r="V10" s="3"/>
      <c r="W10" s="3"/>
      <c r="X10" s="3"/>
      <c r="Y10" s="3"/>
      <c r="Z10" s="3"/>
    </row>
    <row r="11" spans="2:37" hidden="1" outlineLevel="1" x14ac:dyDescent="0.35">
      <c r="B11" t="s">
        <v>41</v>
      </c>
      <c r="E11" s="1">
        <f>SUM(E9:E10)</f>
        <v>60922</v>
      </c>
      <c r="F11" s="1">
        <f t="shared" ref="F11:G11" si="6">SUM(F9:F10)</f>
        <v>26974</v>
      </c>
      <c r="G11" s="1">
        <f t="shared" si="6"/>
        <v>33948</v>
      </c>
      <c r="K11" s="17">
        <f t="shared" si="4"/>
        <v>1.2585452658115224</v>
      </c>
      <c r="L11" s="17">
        <f t="shared" si="5"/>
        <v>-0.2054318369270649</v>
      </c>
    </row>
    <row r="12" spans="2:37" hidden="1" outlineLevel="1" x14ac:dyDescent="0.35"/>
    <row r="13" spans="2:37" collapsed="1" x14ac:dyDescent="0.35">
      <c r="B13" s="14" t="s">
        <v>55</v>
      </c>
      <c r="E13" s="25">
        <v>26966</v>
      </c>
      <c r="F13" s="25">
        <v>8292</v>
      </c>
      <c r="G13" s="25">
        <v>4349</v>
      </c>
      <c r="K13" s="17">
        <f t="shared" ref="K13:K16" si="7">E13/F13-1</f>
        <v>2.2520501688374335</v>
      </c>
      <c r="L13" s="17">
        <f t="shared" ref="L13:L16" si="8">F13/G13-1</f>
        <v>0.90664520579443542</v>
      </c>
      <c r="O13" s="34"/>
      <c r="P13" s="34"/>
      <c r="Q13" s="34"/>
      <c r="R13" s="34"/>
      <c r="S13" s="1">
        <f>E13-SUM(T13:V13)</f>
        <v>12236</v>
      </c>
      <c r="T13" s="25">
        <v>6302</v>
      </c>
      <c r="U13" s="25">
        <v>6043</v>
      </c>
      <c r="V13" s="25">
        <v>2385</v>
      </c>
      <c r="W13" s="1">
        <f>F13-SUM(X13:Z13)</f>
        <v>2224</v>
      </c>
      <c r="X13" s="25">
        <v>2148</v>
      </c>
      <c r="Y13" s="25">
        <v>1988</v>
      </c>
      <c r="Z13" s="25">
        <v>1932</v>
      </c>
      <c r="AB13" s="19">
        <f>S13/T13-1</f>
        <v>0.94160583941605847</v>
      </c>
      <c r="AC13" s="19">
        <f t="shared" ref="AC13:AH13" si="9">T13/U13-1</f>
        <v>4.2859506867449992E-2</v>
      </c>
      <c r="AD13" s="19">
        <f t="shared" si="9"/>
        <v>1.5337526205450733</v>
      </c>
      <c r="AE13" s="19">
        <f t="shared" si="9"/>
        <v>7.2392086330935301E-2</v>
      </c>
      <c r="AF13" s="19">
        <f t="shared" si="9"/>
        <v>3.5381750465549366E-2</v>
      </c>
      <c r="AG13" s="19">
        <f t="shared" si="9"/>
        <v>8.0482897384305918E-2</v>
      </c>
      <c r="AH13" s="19">
        <f t="shared" si="9"/>
        <v>2.8985507246376718E-2</v>
      </c>
    </row>
    <row r="14" spans="2:37" x14ac:dyDescent="0.35">
      <c r="B14" s="14" t="s">
        <v>56</v>
      </c>
      <c r="E14" s="25">
        <v>13405</v>
      </c>
      <c r="F14" s="25">
        <v>6986</v>
      </c>
      <c r="G14" s="25">
        <v>8544</v>
      </c>
      <c r="K14" s="17">
        <f t="shared" si="7"/>
        <v>0.91883767535070149</v>
      </c>
      <c r="L14" s="17">
        <f t="shared" si="8"/>
        <v>-0.18235018726591756</v>
      </c>
      <c r="O14" s="34"/>
      <c r="P14" s="34"/>
      <c r="Q14" s="34"/>
      <c r="R14" s="34"/>
      <c r="S14" s="1">
        <f t="shared" ref="S14:S26" si="10">E14-SUM(T14:V14)</f>
        <v>4437</v>
      </c>
      <c r="T14" s="25">
        <v>4333</v>
      </c>
      <c r="U14" s="25">
        <v>2839</v>
      </c>
      <c r="V14" s="25">
        <v>1796</v>
      </c>
      <c r="W14" s="1">
        <f t="shared" ref="W14:W26" si="11">F14-SUM(X14:Z14)</f>
        <v>1852</v>
      </c>
      <c r="X14" s="25">
        <v>1153</v>
      </c>
      <c r="Y14" s="25">
        <v>1204</v>
      </c>
      <c r="Z14" s="25">
        <v>2777</v>
      </c>
      <c r="AB14" s="19">
        <f t="shared" ref="AB14:AB19" si="12">S14/T14-1</f>
        <v>2.4001846295868878E-2</v>
      </c>
      <c r="AC14" s="19">
        <f t="shared" ref="AC14:AC17" si="13">T14/U14-1</f>
        <v>0.52624163437830229</v>
      </c>
      <c r="AD14" s="19">
        <f t="shared" ref="AD14:AD17" si="14">U14/V14-1</f>
        <v>0.58073496659242752</v>
      </c>
      <c r="AE14" s="19">
        <f t="shared" ref="AE14:AE17" si="15">V14/W14-1</f>
        <v>-3.0237580993520474E-2</v>
      </c>
      <c r="AF14" s="19">
        <f t="shared" ref="AF14:AF17" si="16">W14/X14-1</f>
        <v>0.60624457935819609</v>
      </c>
      <c r="AG14" s="19">
        <f t="shared" ref="AG14:AG17" si="17">X14/Y14-1</f>
        <v>-4.2358803986710991E-2</v>
      </c>
      <c r="AH14" s="19">
        <f t="shared" ref="AH14:AH17" si="18">Y14/Z14-1</f>
        <v>-0.56643860280878644</v>
      </c>
    </row>
    <row r="15" spans="2:37" x14ac:dyDescent="0.35">
      <c r="B15" s="14" t="s">
        <v>57</v>
      </c>
      <c r="E15" s="25">
        <v>10306</v>
      </c>
      <c r="F15" s="25">
        <v>5785</v>
      </c>
      <c r="G15" s="25">
        <v>7111</v>
      </c>
      <c r="K15" s="17">
        <f t="shared" si="7"/>
        <v>0.78150388936905801</v>
      </c>
      <c r="L15" s="17">
        <f t="shared" si="8"/>
        <v>-0.1864716636197441</v>
      </c>
      <c r="O15" s="34"/>
      <c r="P15" s="34"/>
      <c r="Q15" s="34"/>
      <c r="R15" s="34"/>
      <c r="S15" s="1">
        <f t="shared" si="10"/>
        <v>1946</v>
      </c>
      <c r="T15" s="25">
        <v>4030</v>
      </c>
      <c r="U15" s="25">
        <v>2740</v>
      </c>
      <c r="V15" s="25">
        <v>1590</v>
      </c>
      <c r="W15" s="1">
        <f t="shared" si="11"/>
        <v>954</v>
      </c>
      <c r="X15" s="25">
        <v>1148</v>
      </c>
      <c r="Y15" s="25">
        <v>1602</v>
      </c>
      <c r="Z15" s="25">
        <v>2081</v>
      </c>
      <c r="AB15" s="19">
        <f t="shared" si="12"/>
        <v>-0.51712158808933006</v>
      </c>
      <c r="AC15" s="19">
        <f t="shared" si="13"/>
        <v>0.47080291970802923</v>
      </c>
      <c r="AD15" s="19">
        <f t="shared" si="14"/>
        <v>0.72327044025157239</v>
      </c>
      <c r="AE15" s="19">
        <f t="shared" si="15"/>
        <v>0.66666666666666674</v>
      </c>
      <c r="AF15" s="19">
        <f t="shared" si="16"/>
        <v>-0.16898954703832758</v>
      </c>
      <c r="AG15" s="19">
        <f t="shared" si="17"/>
        <v>-0.28339575530586769</v>
      </c>
      <c r="AH15" s="19">
        <f t="shared" si="18"/>
        <v>-0.23017779913503122</v>
      </c>
    </row>
    <row r="16" spans="2:37" x14ac:dyDescent="0.35">
      <c r="B16" s="15" t="s">
        <v>58</v>
      </c>
      <c r="C16" s="3"/>
      <c r="D16" s="3"/>
      <c r="E16" s="26">
        <v>10245</v>
      </c>
      <c r="F16" s="26">
        <v>5911</v>
      </c>
      <c r="G16" s="26">
        <v>6910</v>
      </c>
      <c r="I16" s="3"/>
      <c r="J16" s="3"/>
      <c r="K16" s="18">
        <f t="shared" si="7"/>
        <v>0.73320927085095589</v>
      </c>
      <c r="L16" s="18">
        <f t="shared" si="8"/>
        <v>-0.14457308248914613</v>
      </c>
      <c r="M16" s="3"/>
      <c r="O16" s="35"/>
      <c r="P16" s="35"/>
      <c r="Q16" s="35"/>
      <c r="R16" s="35"/>
      <c r="S16" s="16">
        <f t="shared" si="10"/>
        <v>3484</v>
      </c>
      <c r="T16" s="26">
        <f>2702+753</f>
        <v>3455</v>
      </c>
      <c r="U16" s="26">
        <v>1885</v>
      </c>
      <c r="V16" s="26">
        <f>762+659</f>
        <v>1421</v>
      </c>
      <c r="W16" s="16">
        <f t="shared" si="11"/>
        <v>1021</v>
      </c>
      <c r="X16" s="26">
        <f>536+946</f>
        <v>1482</v>
      </c>
      <c r="Y16" s="26">
        <v>1910</v>
      </c>
      <c r="Z16" s="26">
        <f>454+1044</f>
        <v>1498</v>
      </c>
      <c r="AB16" s="19">
        <f t="shared" si="12"/>
        <v>8.3936324167872556E-3</v>
      </c>
      <c r="AC16" s="19">
        <f t="shared" si="13"/>
        <v>0.83289124668435011</v>
      </c>
      <c r="AD16" s="19">
        <f t="shared" si="14"/>
        <v>0.32653061224489788</v>
      </c>
      <c r="AE16" s="19">
        <f t="shared" si="15"/>
        <v>0.39177277179236047</v>
      </c>
      <c r="AF16" s="19">
        <f t="shared" si="16"/>
        <v>-0.31106612685560053</v>
      </c>
      <c r="AG16" s="19">
        <f t="shared" si="17"/>
        <v>-0.22408376963350785</v>
      </c>
      <c r="AH16" s="19">
        <f t="shared" si="18"/>
        <v>0.27503337783711612</v>
      </c>
    </row>
    <row r="17" spans="2:37" x14ac:dyDescent="0.35">
      <c r="B17" t="s">
        <v>41</v>
      </c>
      <c r="E17" s="2">
        <f>SUM(E13:E16)</f>
        <v>60922</v>
      </c>
      <c r="F17" s="2">
        <f>SUM(F13:F16)</f>
        <v>26974</v>
      </c>
      <c r="G17" s="2">
        <f>SUM(G13:G16)</f>
        <v>26914</v>
      </c>
      <c r="K17" s="17">
        <f>E17/F17-1</f>
        <v>1.2585452658115224</v>
      </c>
      <c r="L17" s="17">
        <f t="shared" ref="L17" si="19">F17/G17-1</f>
        <v>2.2293230289069932E-3</v>
      </c>
      <c r="O17" s="34"/>
      <c r="P17" s="34"/>
      <c r="Q17" s="34"/>
      <c r="R17" s="34"/>
      <c r="S17" s="1">
        <f t="shared" si="10"/>
        <v>22103</v>
      </c>
      <c r="T17" s="1">
        <f>SUM(T13:T16)</f>
        <v>18120</v>
      </c>
      <c r="U17" s="1">
        <f>SUM(U13:U16)</f>
        <v>13507</v>
      </c>
      <c r="V17" s="1">
        <f>SUM(V13:V16)</f>
        <v>7192</v>
      </c>
      <c r="W17" s="1">
        <f t="shared" si="11"/>
        <v>6051</v>
      </c>
      <c r="X17" s="1">
        <f>SUM(X13:X16)</f>
        <v>5931</v>
      </c>
      <c r="Y17" s="1">
        <f>SUM(Y13:Y16)</f>
        <v>6704</v>
      </c>
      <c r="Z17" s="2">
        <f>SUM(Z13:Z16)</f>
        <v>8288</v>
      </c>
      <c r="AB17" s="19">
        <f t="shared" si="12"/>
        <v>0.21981236203090515</v>
      </c>
      <c r="AC17" s="19">
        <f t="shared" si="13"/>
        <v>0.34152661582882948</v>
      </c>
      <c r="AD17" s="19">
        <f t="shared" si="14"/>
        <v>0.87805895439377091</v>
      </c>
      <c r="AE17" s="19">
        <f t="shared" si="15"/>
        <v>0.1885638737398776</v>
      </c>
      <c r="AF17" s="19">
        <f t="shared" si="16"/>
        <v>2.0232675771370667E-2</v>
      </c>
      <c r="AG17" s="19">
        <f t="shared" si="17"/>
        <v>-0.11530429594272074</v>
      </c>
      <c r="AH17" s="19">
        <f t="shared" si="18"/>
        <v>-0.19111969111969107</v>
      </c>
    </row>
    <row r="19" spans="2:37" x14ac:dyDescent="0.35">
      <c r="B19" s="14" t="s">
        <v>32</v>
      </c>
      <c r="C19" s="14"/>
      <c r="D19" s="2">
        <f t="shared" ref="D19:D25" si="20">SUM(O19:R19)</f>
        <v>106551.13585600001</v>
      </c>
      <c r="E19" s="25">
        <v>47525</v>
      </c>
      <c r="F19" s="25">
        <v>15005</v>
      </c>
      <c r="G19" s="25">
        <v>10613</v>
      </c>
      <c r="K19" s="17">
        <f>E19/F19-1</f>
        <v>2.1672775741419525</v>
      </c>
      <c r="L19" s="17">
        <f t="shared" ref="L19" si="21">F19/G19-1</f>
        <v>0.4138320927164798</v>
      </c>
      <c r="M19" s="17"/>
      <c r="O19" s="49">
        <f>P19*1.01</f>
        <v>31160.990256000005</v>
      </c>
      <c r="P19" s="50">
        <f>Q19*1.27</f>
        <v>30852.465600000003</v>
      </c>
      <c r="Q19" s="50">
        <f>R19*(1.2)</f>
        <v>24293.280000000002</v>
      </c>
      <c r="R19" s="50">
        <f>S19*(1.1)</f>
        <v>20244.400000000001</v>
      </c>
      <c r="S19" s="1">
        <f t="shared" si="10"/>
        <v>18404</v>
      </c>
      <c r="T19" s="25">
        <v>14514</v>
      </c>
      <c r="U19" s="25">
        <v>10323</v>
      </c>
      <c r="V19" s="25">
        <v>4284</v>
      </c>
      <c r="W19" s="1">
        <f t="shared" si="11"/>
        <v>3616</v>
      </c>
      <c r="X19" s="25">
        <v>3833</v>
      </c>
      <c r="Y19" s="25">
        <v>3806</v>
      </c>
      <c r="Z19" s="25">
        <v>3750</v>
      </c>
      <c r="AB19" s="19">
        <f t="shared" si="12"/>
        <v>0.2680170869505305</v>
      </c>
      <c r="AC19" s="19">
        <f t="shared" ref="AC19" si="22">T19/U19-1</f>
        <v>0.40598663179308336</v>
      </c>
      <c r="AD19" s="19">
        <f t="shared" ref="AD19" si="23">U19/V19-1</f>
        <v>1.4096638655462184</v>
      </c>
      <c r="AE19" s="19">
        <f t="shared" ref="AE19" si="24">V19/W19-1</f>
        <v>0.18473451327433632</v>
      </c>
      <c r="AF19" s="19">
        <f t="shared" ref="AF19" si="25">W19/X19-1</f>
        <v>-5.6613618575528268E-2</v>
      </c>
      <c r="AG19" s="19">
        <f t="shared" ref="AG19" si="26">X19/Y19-1</f>
        <v>7.0940620073567384E-3</v>
      </c>
      <c r="AH19" s="19">
        <f t="shared" ref="AH19" si="27">Y19/Z19-1</f>
        <v>1.4933333333333243E-2</v>
      </c>
      <c r="AK19" t="s">
        <v>42</v>
      </c>
    </row>
    <row r="20" spans="2:37" x14ac:dyDescent="0.35">
      <c r="B20" s="14" t="s">
        <v>33</v>
      </c>
      <c r="C20" s="14"/>
      <c r="D20" s="2">
        <f t="shared" si="20"/>
        <v>8666.039337016573</v>
      </c>
      <c r="E20" s="25">
        <v>10447</v>
      </c>
      <c r="F20" s="25">
        <v>9067</v>
      </c>
      <c r="G20" s="25">
        <v>12462</v>
      </c>
      <c r="K20" s="17">
        <f t="shared" ref="K20:K26" si="28">E20/F20-1</f>
        <v>0.15220028675416342</v>
      </c>
      <c r="L20" s="17">
        <f t="shared" ref="L20:L26" si="29">F20/G20-1</f>
        <v>-0.27242818167228378</v>
      </c>
      <c r="O20" s="49">
        <f>P20*1.2</f>
        <v>1793.8382320441985</v>
      </c>
      <c r="P20" s="49">
        <f>Q20*(1+AG20)</f>
        <v>1494.8651933701656</v>
      </c>
      <c r="Q20" s="49">
        <f>R20*(1+AH20)</f>
        <v>1939.33591160221</v>
      </c>
      <c r="R20" s="49">
        <f>S20*(1.2)</f>
        <v>3438</v>
      </c>
      <c r="S20" s="1">
        <f t="shared" si="10"/>
        <v>2865</v>
      </c>
      <c r="T20" s="25">
        <v>2856</v>
      </c>
      <c r="U20" s="25">
        <v>2486</v>
      </c>
      <c r="V20" s="25">
        <v>2240</v>
      </c>
      <c r="W20" s="1">
        <f t="shared" si="11"/>
        <v>1831</v>
      </c>
      <c r="X20" s="25">
        <v>1574</v>
      </c>
      <c r="Y20" s="25">
        <v>2042</v>
      </c>
      <c r="Z20" s="25">
        <v>3620</v>
      </c>
      <c r="AB20" s="19">
        <f t="shared" ref="AB20:AB26" si="30">S20/T20-1</f>
        <v>3.1512605042016695E-3</v>
      </c>
      <c r="AC20" s="19">
        <f t="shared" ref="AC20:AC26" si="31">T20/U20-1</f>
        <v>0.14883346741753822</v>
      </c>
      <c r="AD20" s="19">
        <f t="shared" ref="AD20:AD26" si="32">U20/V20-1</f>
        <v>0.10982142857142851</v>
      </c>
      <c r="AE20" s="19">
        <f t="shared" ref="AE20:AE26" si="33">V20/W20-1</f>
        <v>0.22337520480611683</v>
      </c>
      <c r="AF20" s="19">
        <f t="shared" ref="AF20:AF26" si="34">W20/X20-1</f>
        <v>0.1632782719186785</v>
      </c>
      <c r="AG20" s="19">
        <f t="shared" ref="AG20:AG26" si="35">X20/Y20-1</f>
        <v>-0.2291870714985309</v>
      </c>
      <c r="AH20" s="19">
        <f t="shared" ref="AH20:AH26" si="36">Y20/Z20-1</f>
        <v>-0.43591160220994474</v>
      </c>
    </row>
    <row r="21" spans="2:37" x14ac:dyDescent="0.35">
      <c r="B21" s="14" t="s">
        <v>34</v>
      </c>
      <c r="C21" s="14"/>
      <c r="D21" s="2">
        <f t="shared" si="20"/>
        <v>2753.4896710939888</v>
      </c>
      <c r="E21" s="25">
        <v>1553</v>
      </c>
      <c r="F21" s="25">
        <v>1544</v>
      </c>
      <c r="G21" s="25">
        <v>2111</v>
      </c>
      <c r="K21" s="17">
        <f t="shared" si="28"/>
        <v>5.8290155440414715E-3</v>
      </c>
      <c r="L21" s="17">
        <f t="shared" si="29"/>
        <v>-0.26859308384651825</v>
      </c>
      <c r="O21" s="49">
        <f t="shared" ref="O21:Q21" si="37">P21*(1+AVERAGE($AB$21:$AD$21))</f>
        <v>853.21714804462613</v>
      </c>
      <c r="P21" s="49">
        <f t="shared" si="37"/>
        <v>732.30150936693929</v>
      </c>
      <c r="Q21" s="49">
        <f t="shared" si="37"/>
        <v>628.5217096844483</v>
      </c>
      <c r="R21" s="49">
        <f>S21*(1+AVERAGE($AB$21:$AD$21))</f>
        <v>539.44930399797488</v>
      </c>
      <c r="S21" s="1">
        <f t="shared" si="10"/>
        <v>463</v>
      </c>
      <c r="T21" s="25">
        <v>416</v>
      </c>
      <c r="U21" s="25">
        <v>379</v>
      </c>
      <c r="V21" s="25">
        <v>295</v>
      </c>
      <c r="W21" s="1">
        <f t="shared" si="11"/>
        <v>226</v>
      </c>
      <c r="X21" s="25">
        <v>200</v>
      </c>
      <c r="Y21" s="25">
        <v>496</v>
      </c>
      <c r="Z21" s="25">
        <v>622</v>
      </c>
      <c r="AB21" s="19">
        <f t="shared" si="30"/>
        <v>0.11298076923076916</v>
      </c>
      <c r="AC21" s="19">
        <f t="shared" si="31"/>
        <v>9.7625329815303363E-2</v>
      </c>
      <c r="AD21" s="19">
        <f t="shared" si="32"/>
        <v>0.28474576271186436</v>
      </c>
      <c r="AE21" s="19">
        <f t="shared" si="33"/>
        <v>0.30530973451327426</v>
      </c>
      <c r="AF21" s="19">
        <f t="shared" si="34"/>
        <v>0.12999999999999989</v>
      </c>
      <c r="AG21" s="19">
        <f t="shared" si="35"/>
        <v>-0.59677419354838712</v>
      </c>
      <c r="AH21" s="19">
        <f t="shared" si="36"/>
        <v>-0.202572347266881</v>
      </c>
    </row>
    <row r="22" spans="2:37" x14ac:dyDescent="0.35">
      <c r="B22" s="14" t="s">
        <v>35</v>
      </c>
      <c r="C22" s="14"/>
      <c r="D22" s="2">
        <f t="shared" si="20"/>
        <v>1089.7486140870574</v>
      </c>
      <c r="E22" s="25">
        <v>1091</v>
      </c>
      <c r="F22" s="25">
        <v>903</v>
      </c>
      <c r="G22" s="25">
        <v>566</v>
      </c>
      <c r="K22" s="17">
        <f t="shared" si="28"/>
        <v>0.20819490586932443</v>
      </c>
      <c r="L22" s="17">
        <f t="shared" si="29"/>
        <v>0.59540636042402828</v>
      </c>
      <c r="O22" s="49">
        <f t="shared" ref="O22:Q22" si="38">P22*(1+AVERAGE($AB$22:$AD$22))</f>
        <v>267.38397858019266</v>
      </c>
      <c r="P22" s="49">
        <f t="shared" si="38"/>
        <v>270.72484631115208</v>
      </c>
      <c r="Q22" s="49">
        <f t="shared" si="38"/>
        <v>274.10745699640154</v>
      </c>
      <c r="R22" s="49">
        <f>S22*(1+AVERAGE($AB$22:$AD$22))</f>
        <v>277.53233219931121</v>
      </c>
      <c r="S22" s="1">
        <f t="shared" si="10"/>
        <v>281</v>
      </c>
      <c r="T22" s="25">
        <v>261</v>
      </c>
      <c r="U22" s="25">
        <v>253</v>
      </c>
      <c r="V22" s="25">
        <v>296</v>
      </c>
      <c r="W22" s="1">
        <f t="shared" si="11"/>
        <v>294</v>
      </c>
      <c r="X22" s="25">
        <v>251</v>
      </c>
      <c r="Y22" s="25">
        <v>220</v>
      </c>
      <c r="Z22" s="25">
        <v>138</v>
      </c>
      <c r="AB22" s="19">
        <f t="shared" si="30"/>
        <v>7.6628352490421436E-2</v>
      </c>
      <c r="AC22" s="19">
        <f t="shared" si="31"/>
        <v>3.1620553359683834E-2</v>
      </c>
      <c r="AD22" s="19">
        <f t="shared" si="32"/>
        <v>-0.14527027027027029</v>
      </c>
      <c r="AE22" s="19">
        <f t="shared" si="33"/>
        <v>6.8027210884353817E-3</v>
      </c>
      <c r="AF22" s="19">
        <f t="shared" si="34"/>
        <v>0.17131474103585664</v>
      </c>
      <c r="AG22" s="19">
        <f t="shared" si="35"/>
        <v>0.14090909090909087</v>
      </c>
      <c r="AH22" s="19">
        <f t="shared" si="36"/>
        <v>0.59420289855072461</v>
      </c>
    </row>
    <row r="23" spans="2:37" x14ac:dyDescent="0.35">
      <c r="B23" s="15" t="s">
        <v>36</v>
      </c>
      <c r="C23" s="15"/>
      <c r="D23" s="4">
        <f t="shared" si="20"/>
        <v>327.85714285714283</v>
      </c>
      <c r="E23" s="26">
        <v>306</v>
      </c>
      <c r="F23" s="26">
        <v>455</v>
      </c>
      <c r="G23" s="26">
        <v>1162</v>
      </c>
      <c r="I23" s="3"/>
      <c r="J23" s="3"/>
      <c r="K23" s="18">
        <f t="shared" si="28"/>
        <v>-0.32747252747252742</v>
      </c>
      <c r="L23" s="18">
        <f t="shared" si="29"/>
        <v>-0.60843373493975905</v>
      </c>
      <c r="M23" s="3"/>
      <c r="O23" s="51">
        <f t="shared" ref="O23:Q23" si="39">P23*(1+AB23)</f>
        <v>96.428571428571402</v>
      </c>
      <c r="P23" s="51">
        <f t="shared" si="39"/>
        <v>78.214285714285694</v>
      </c>
      <c r="Q23" s="51">
        <f t="shared" si="39"/>
        <v>70.714285714285708</v>
      </c>
      <c r="R23" s="51">
        <f>S23*(1+AE23)</f>
        <v>82.5</v>
      </c>
      <c r="S23" s="16">
        <f t="shared" si="10"/>
        <v>90</v>
      </c>
      <c r="T23" s="26">
        <v>73</v>
      </c>
      <c r="U23" s="26">
        <v>66</v>
      </c>
      <c r="V23" s="26">
        <v>77</v>
      </c>
      <c r="W23" s="16">
        <f t="shared" si="11"/>
        <v>84</v>
      </c>
      <c r="X23" s="26">
        <v>73</v>
      </c>
      <c r="Y23" s="26">
        <v>140</v>
      </c>
      <c r="Z23" s="26">
        <v>158</v>
      </c>
      <c r="AB23" s="28">
        <f t="shared" si="30"/>
        <v>0.23287671232876717</v>
      </c>
      <c r="AC23" s="28">
        <f t="shared" si="31"/>
        <v>0.10606060606060597</v>
      </c>
      <c r="AD23" s="28">
        <f t="shared" si="32"/>
        <v>-0.1428571428571429</v>
      </c>
      <c r="AE23" s="28">
        <f t="shared" si="33"/>
        <v>-8.333333333333337E-2</v>
      </c>
      <c r="AF23" s="28">
        <f t="shared" si="34"/>
        <v>0.15068493150684925</v>
      </c>
      <c r="AG23" s="28">
        <f t="shared" si="35"/>
        <v>-0.47857142857142854</v>
      </c>
      <c r="AH23" s="28">
        <f t="shared" si="36"/>
        <v>-0.11392405063291144</v>
      </c>
    </row>
    <row r="24" spans="2:37" x14ac:dyDescent="0.35">
      <c r="B24" t="s">
        <v>0</v>
      </c>
      <c r="D24" s="2">
        <f>SUM(O24:R24)</f>
        <v>110600.21477034295</v>
      </c>
      <c r="E24" s="1">
        <f>SUM(E19:E23)</f>
        <v>60922</v>
      </c>
      <c r="F24" s="1">
        <f>SUM(F19:F23)</f>
        <v>26974</v>
      </c>
      <c r="G24" s="1">
        <f>SUM(G19:G23)</f>
        <v>26914</v>
      </c>
      <c r="K24" s="17">
        <f t="shared" si="28"/>
        <v>1.2585452658115224</v>
      </c>
      <c r="L24" s="17">
        <f t="shared" si="29"/>
        <v>2.2293230289069932E-3</v>
      </c>
      <c r="O24" s="39">
        <f>SUM(O19:O23)*0.87</f>
        <v>29729.516621904902</v>
      </c>
      <c r="P24" s="39">
        <f>SUM(P19:P23)*0.87</f>
        <v>29082.857148243416</v>
      </c>
      <c r="Q24" s="2">
        <f t="shared" ref="Q24" si="40">SUM(Q19:Q23)</f>
        <v>27205.95936399735</v>
      </c>
      <c r="R24" s="2">
        <f>SUM(R19:R23)</f>
        <v>24581.881636197289</v>
      </c>
      <c r="S24" s="1">
        <f t="shared" si="10"/>
        <v>22103</v>
      </c>
      <c r="T24" s="1">
        <f>SUM(T19:T23)</f>
        <v>18120</v>
      </c>
      <c r="U24" s="1">
        <f>SUM(U19:U23)</f>
        <v>13507</v>
      </c>
      <c r="V24" s="1">
        <f>SUM(V19:V23)</f>
        <v>7192</v>
      </c>
      <c r="W24" s="1">
        <f t="shared" si="11"/>
        <v>6051</v>
      </c>
      <c r="X24" s="1">
        <f>SUM(X19:X23)</f>
        <v>5931</v>
      </c>
      <c r="Y24" s="1">
        <v>6704</v>
      </c>
      <c r="Z24" s="1">
        <f>SUM(Z19:Z23)</f>
        <v>8288</v>
      </c>
      <c r="AB24" s="19">
        <f t="shared" si="30"/>
        <v>0.21981236203090515</v>
      </c>
      <c r="AC24" s="19">
        <f t="shared" si="31"/>
        <v>0.34152661582882948</v>
      </c>
      <c r="AD24" s="19">
        <f t="shared" si="32"/>
        <v>0.87805895439377091</v>
      </c>
      <c r="AE24" s="19">
        <f t="shared" si="33"/>
        <v>0.1885638737398776</v>
      </c>
      <c r="AF24" s="19">
        <f t="shared" si="34"/>
        <v>2.0232675771370667E-2</v>
      </c>
      <c r="AG24" s="19">
        <f t="shared" si="35"/>
        <v>-0.11530429594272074</v>
      </c>
      <c r="AH24" s="19">
        <f t="shared" si="36"/>
        <v>-0.19111969111969107</v>
      </c>
    </row>
    <row r="25" spans="2:37" x14ac:dyDescent="0.35">
      <c r="B25" s="3" t="s">
        <v>1</v>
      </c>
      <c r="C25" s="3"/>
      <c r="D25" s="4">
        <f t="shared" si="20"/>
        <v>34987.540685175642</v>
      </c>
      <c r="E25" s="4">
        <v>16621</v>
      </c>
      <c r="F25" s="4">
        <v>11618</v>
      </c>
      <c r="G25" s="4">
        <v>9439</v>
      </c>
      <c r="I25" s="3"/>
      <c r="J25" s="3"/>
      <c r="K25" s="18">
        <f t="shared" si="28"/>
        <v>0.43062489240833179</v>
      </c>
      <c r="L25" s="18">
        <f t="shared" si="29"/>
        <v>0.23085072571246945</v>
      </c>
      <c r="M25" s="3"/>
      <c r="O25" s="4">
        <f t="shared" ref="O25:Q25" si="41">O24-O26</f>
        <v>10702.625983885766</v>
      </c>
      <c r="P25" s="4">
        <f t="shared" si="41"/>
        <v>10469.828573367631</v>
      </c>
      <c r="Q25" s="4">
        <f t="shared" si="41"/>
        <v>7257.5466470008541</v>
      </c>
      <c r="R25" s="4">
        <f>R24-R26</f>
        <v>6557.5394809213867</v>
      </c>
      <c r="S25" s="16">
        <f t="shared" si="10"/>
        <v>5312</v>
      </c>
      <c r="T25" s="27">
        <v>4720</v>
      </c>
      <c r="U25" s="27">
        <v>4045</v>
      </c>
      <c r="V25" s="27">
        <v>2544</v>
      </c>
      <c r="W25" s="4">
        <f t="shared" si="11"/>
        <v>2218</v>
      </c>
      <c r="X25" s="27">
        <v>2754</v>
      </c>
      <c r="Y25" s="27">
        <v>3789</v>
      </c>
      <c r="Z25" s="27">
        <v>2857</v>
      </c>
      <c r="AB25" s="19">
        <f t="shared" si="30"/>
        <v>0.12542372881355934</v>
      </c>
      <c r="AC25" s="19">
        <f t="shared" si="31"/>
        <v>0.16687268232385666</v>
      </c>
      <c r="AD25" s="19">
        <f t="shared" si="32"/>
        <v>0.59001572327044016</v>
      </c>
      <c r="AE25" s="19">
        <f t="shared" si="33"/>
        <v>0.14697926059513078</v>
      </c>
      <c r="AF25" s="19">
        <f t="shared" si="34"/>
        <v>-0.19462599854756713</v>
      </c>
      <c r="AG25" s="19">
        <f t="shared" si="35"/>
        <v>-0.27315914489311166</v>
      </c>
      <c r="AH25" s="19">
        <f t="shared" si="36"/>
        <v>0.3262163108155407</v>
      </c>
    </row>
    <row r="26" spans="2:37" x14ac:dyDescent="0.35">
      <c r="B26" t="s">
        <v>2</v>
      </c>
      <c r="D26" s="2">
        <f>SUM(O26:R26)</f>
        <v>75612.674085167324</v>
      </c>
      <c r="E26" s="2">
        <f>E24-E25</f>
        <v>44301</v>
      </c>
      <c r="F26" s="2">
        <f t="shared" ref="F26:G26" si="42">F24-F25</f>
        <v>15356</v>
      </c>
      <c r="G26" s="2">
        <f t="shared" si="42"/>
        <v>17475</v>
      </c>
      <c r="K26" s="17">
        <f t="shared" si="28"/>
        <v>1.8849309716071896</v>
      </c>
      <c r="L26" s="17">
        <f t="shared" si="29"/>
        <v>-0.12125894134477821</v>
      </c>
      <c r="O26" s="2">
        <f t="shared" ref="O26:Q26" si="43">O27*O24</f>
        <v>19026.890638019137</v>
      </c>
      <c r="P26" s="2">
        <f t="shared" si="43"/>
        <v>18613.028574875785</v>
      </c>
      <c r="Q26" s="2">
        <f t="shared" si="43"/>
        <v>19948.412716996496</v>
      </c>
      <c r="R26" s="2">
        <f>R27*R24</f>
        <v>18024.342155275903</v>
      </c>
      <c r="S26" s="1">
        <f t="shared" si="10"/>
        <v>16791</v>
      </c>
      <c r="T26" s="2">
        <f>T24-T25</f>
        <v>13400</v>
      </c>
      <c r="U26" s="2">
        <f>U24-U25</f>
        <v>9462</v>
      </c>
      <c r="V26" s="2">
        <f>V24-V25</f>
        <v>4648</v>
      </c>
      <c r="W26" s="2">
        <f t="shared" si="11"/>
        <v>3833</v>
      </c>
      <c r="X26" s="2">
        <f>X24-X25</f>
        <v>3177</v>
      </c>
      <c r="Y26" s="2">
        <f t="shared" ref="Y26:Z26" si="44">Y24-Y25</f>
        <v>2915</v>
      </c>
      <c r="Z26" s="2">
        <f t="shared" si="44"/>
        <v>5431</v>
      </c>
      <c r="AB26" s="19">
        <f t="shared" si="30"/>
        <v>0.25305970149253731</v>
      </c>
      <c r="AC26" s="19">
        <f t="shared" si="31"/>
        <v>0.41619108010991335</v>
      </c>
      <c r="AD26" s="19">
        <f t="shared" si="32"/>
        <v>1.0357142857142856</v>
      </c>
      <c r="AE26" s="19">
        <f t="shared" si="33"/>
        <v>0.21262718497260624</v>
      </c>
      <c r="AF26" s="19">
        <f t="shared" si="34"/>
        <v>0.20648410450110166</v>
      </c>
      <c r="AG26" s="19">
        <f t="shared" si="35"/>
        <v>8.9879931389365453E-2</v>
      </c>
      <c r="AH26" s="19">
        <f t="shared" si="36"/>
        <v>-0.4632664334376726</v>
      </c>
    </row>
    <row r="27" spans="2:37" x14ac:dyDescent="0.35">
      <c r="B27" s="5" t="s">
        <v>54</v>
      </c>
      <c r="D27" s="19">
        <f>D26/D24</f>
        <v>0.6836575701247426</v>
      </c>
      <c r="E27" s="19">
        <f>E26/E24</f>
        <v>0.72717573290436954</v>
      </c>
      <c r="F27" s="19">
        <f t="shared" ref="F27:G27" si="45">F26/F24</f>
        <v>0.56928894490991322</v>
      </c>
      <c r="G27" s="19">
        <f t="shared" si="45"/>
        <v>0.64929033216913135</v>
      </c>
      <c r="K27" s="17"/>
      <c r="L27" s="17"/>
      <c r="O27" s="52">
        <f>P27</f>
        <v>0.64</v>
      </c>
      <c r="P27" s="52">
        <v>0.64</v>
      </c>
      <c r="Q27" s="52">
        <f>R27</f>
        <v>0.73323687836551599</v>
      </c>
      <c r="R27" s="52">
        <f>AVERAGE(S27:U27)</f>
        <v>0.73323687836551599</v>
      </c>
      <c r="S27" s="19">
        <f t="shared" ref="S27:V27" si="46">S26/S24</f>
        <v>0.75967063294575399</v>
      </c>
      <c r="T27" s="19">
        <f t="shared" si="46"/>
        <v>0.73951434878587197</v>
      </c>
      <c r="U27" s="19">
        <f t="shared" si="46"/>
        <v>0.7005256533649219</v>
      </c>
      <c r="V27" s="19">
        <f t="shared" si="46"/>
        <v>0.64627363737486099</v>
      </c>
      <c r="W27" s="19">
        <f t="shared" ref="W27:Z27" si="47">W26/W24</f>
        <v>0.63344901669145592</v>
      </c>
      <c r="X27" s="19">
        <f t="shared" si="47"/>
        <v>0.53566009104704093</v>
      </c>
      <c r="Y27" s="19">
        <f t="shared" si="47"/>
        <v>0.43481503579952269</v>
      </c>
      <c r="Z27" s="19">
        <f t="shared" si="47"/>
        <v>0.65528474903474898</v>
      </c>
    </row>
    <row r="28" spans="2:37" x14ac:dyDescent="0.35">
      <c r="I28" s="21" t="s">
        <v>37</v>
      </c>
      <c r="J28" s="11"/>
      <c r="K28" s="11"/>
      <c r="L28" s="11"/>
      <c r="M28" s="11"/>
      <c r="AB28" s="21" t="s">
        <v>37</v>
      </c>
      <c r="AC28" s="11"/>
      <c r="AD28" s="11"/>
      <c r="AE28" s="11"/>
      <c r="AF28" s="11"/>
      <c r="AG28" s="11"/>
      <c r="AH28" s="11"/>
      <c r="AI28" s="11"/>
    </row>
    <row r="29" spans="2:37" x14ac:dyDescent="0.35">
      <c r="B29" t="s">
        <v>3</v>
      </c>
      <c r="D29" s="2">
        <f t="shared" ref="D29:D39" si="48">SUM(O29:R29)</f>
        <v>17516.426634021889</v>
      </c>
      <c r="E29" s="37">
        <v>8675</v>
      </c>
      <c r="F29" s="37">
        <v>7339</v>
      </c>
      <c r="G29" s="37">
        <v>5268</v>
      </c>
      <c r="K29" s="19">
        <f>E29/E$24</f>
        <v>0.14239519385443683</v>
      </c>
      <c r="L29" s="19">
        <f t="shared" ref="L29:M31" si="49">F29/F$24</f>
        <v>0.27207681471046191</v>
      </c>
      <c r="M29" s="19">
        <f t="shared" si="49"/>
        <v>0.19573456193802483</v>
      </c>
      <c r="O29" s="50">
        <f t="shared" ref="O29:Q29" si="50">O24*AB29</f>
        <v>3316.8795181476494</v>
      </c>
      <c r="P29" s="50">
        <f t="shared" si="50"/>
        <v>3681.9025550811475</v>
      </c>
      <c r="Q29" s="50">
        <f t="shared" si="50"/>
        <v>4108.9921598100691</v>
      </c>
      <c r="R29" s="50">
        <f>R24*AE29</f>
        <v>6408.6524009830255</v>
      </c>
      <c r="S29" s="1">
        <f t="shared" ref="S29:S32" si="51">E29-SUM(T29:V29)</f>
        <v>2466</v>
      </c>
      <c r="T29" s="37">
        <v>2294</v>
      </c>
      <c r="U29" s="37">
        <v>2040</v>
      </c>
      <c r="V29" s="37">
        <v>1875</v>
      </c>
      <c r="W29" s="1">
        <f t="shared" ref="W29:W32" si="52">F29-SUM(X29:Z29)</f>
        <v>1952</v>
      </c>
      <c r="X29" s="37">
        <v>1945</v>
      </c>
      <c r="Y29" s="37">
        <v>1824</v>
      </c>
      <c r="Z29" s="37">
        <v>1618</v>
      </c>
      <c r="AB29" s="19">
        <f t="shared" ref="AB29:AH29" si="53">S29/S17</f>
        <v>0.11156856535311949</v>
      </c>
      <c r="AC29" s="19">
        <f t="shared" si="53"/>
        <v>0.12660044150110375</v>
      </c>
      <c r="AD29" s="19">
        <f t="shared" si="53"/>
        <v>0.15103279780854373</v>
      </c>
      <c r="AE29" s="19">
        <f t="shared" si="53"/>
        <v>0.26070634037819801</v>
      </c>
      <c r="AF29" s="19">
        <f t="shared" si="53"/>
        <v>0.32259130722194679</v>
      </c>
      <c r="AG29" s="19">
        <f t="shared" si="53"/>
        <v>0.32793795312763446</v>
      </c>
      <c r="AH29" s="19">
        <f t="shared" si="53"/>
        <v>0.27207637231503579</v>
      </c>
      <c r="AI29" s="19">
        <f>Z29/Z17</f>
        <v>0.19522200772200773</v>
      </c>
    </row>
    <row r="30" spans="2:37" x14ac:dyDescent="0.35">
      <c r="B30" t="s">
        <v>4</v>
      </c>
      <c r="D30" s="2">
        <f t="shared" si="48"/>
        <v>5530.0107385171486</v>
      </c>
      <c r="E30" s="37">
        <v>2654</v>
      </c>
      <c r="F30" s="37">
        <v>2440</v>
      </c>
      <c r="G30" s="37">
        <v>2166</v>
      </c>
      <c r="K30" s="19">
        <f>E30/E$24</f>
        <v>4.3563901382095135E-2</v>
      </c>
      <c r="L30" s="19">
        <f t="shared" si="49"/>
        <v>9.0457477570994288E-2</v>
      </c>
      <c r="M30" s="19">
        <f t="shared" si="49"/>
        <v>8.0478561343538674E-2</v>
      </c>
      <c r="O30" s="50">
        <f t="shared" ref="O30:Q30" si="54">O24*5%</f>
        <v>1486.4758310952452</v>
      </c>
      <c r="P30" s="50">
        <f t="shared" si="54"/>
        <v>1454.142857412171</v>
      </c>
      <c r="Q30" s="50">
        <f t="shared" si="54"/>
        <v>1360.2979681998677</v>
      </c>
      <c r="R30" s="50">
        <f>R24*5%</f>
        <v>1229.0940818098645</v>
      </c>
      <c r="S30" s="1">
        <f t="shared" si="51"/>
        <v>710</v>
      </c>
      <c r="T30" s="37">
        <v>689</v>
      </c>
      <c r="U30" s="37">
        <v>622</v>
      </c>
      <c r="V30" s="37">
        <v>633</v>
      </c>
      <c r="W30" s="1">
        <f t="shared" si="52"/>
        <v>625</v>
      </c>
      <c r="X30" s="37">
        <v>631</v>
      </c>
      <c r="Y30" s="37">
        <v>592</v>
      </c>
      <c r="Z30" s="37">
        <v>592</v>
      </c>
      <c r="AB30" s="19">
        <f t="shared" ref="AB30:AH30" si="55">S30/S17</f>
        <v>3.2122336334434239E-2</v>
      </c>
      <c r="AC30" s="19">
        <f t="shared" si="55"/>
        <v>3.8024282560706404E-2</v>
      </c>
      <c r="AD30" s="19">
        <f t="shared" si="55"/>
        <v>4.6050196194565782E-2</v>
      </c>
      <c r="AE30" s="19">
        <f t="shared" si="55"/>
        <v>8.8014460511679646E-2</v>
      </c>
      <c r="AF30" s="19">
        <f t="shared" si="55"/>
        <v>0.10328871260948604</v>
      </c>
      <c r="AG30" s="19">
        <f t="shared" si="55"/>
        <v>0.1063901534311246</v>
      </c>
      <c r="AH30" s="19">
        <f t="shared" si="55"/>
        <v>8.83054892601432E-2</v>
      </c>
      <c r="AI30" s="19">
        <f>Z30/Z17</f>
        <v>7.1428571428571425E-2</v>
      </c>
    </row>
    <row r="31" spans="2:37" x14ac:dyDescent="0.35">
      <c r="B31" s="3" t="s">
        <v>5</v>
      </c>
      <c r="C31" s="3"/>
      <c r="D31" s="4">
        <f t="shared" si="48"/>
        <v>0</v>
      </c>
      <c r="E31" s="38"/>
      <c r="F31" s="27">
        <v>1353</v>
      </c>
      <c r="G31" s="38"/>
      <c r="L31" s="19">
        <f t="shared" si="49"/>
        <v>5.015941276785052E-2</v>
      </c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27">
        <v>1353</v>
      </c>
    </row>
    <row r="32" spans="2:37" x14ac:dyDescent="0.35">
      <c r="B32" t="s">
        <v>7</v>
      </c>
      <c r="D32" s="2">
        <f t="shared" si="48"/>
        <v>23046.43737253904</v>
      </c>
      <c r="E32" s="2">
        <f>SUM(E29:E31)</f>
        <v>11329</v>
      </c>
      <c r="F32" s="2">
        <f t="shared" ref="F32:G32" si="56">SUM(F29:F31)</f>
        <v>11132</v>
      </c>
      <c r="G32" s="2">
        <f t="shared" si="56"/>
        <v>7434</v>
      </c>
      <c r="O32" s="2">
        <f t="shared" ref="O32:R32" si="57">SUM(O29:O31)</f>
        <v>4803.3553492428946</v>
      </c>
      <c r="P32" s="2">
        <f t="shared" si="57"/>
        <v>5136.0454124933185</v>
      </c>
      <c r="Q32" s="2">
        <f t="shared" si="57"/>
        <v>5469.2901280099368</v>
      </c>
      <c r="R32" s="2">
        <f t="shared" si="57"/>
        <v>7637.7464827928898</v>
      </c>
      <c r="S32" s="1">
        <f t="shared" si="51"/>
        <v>3176</v>
      </c>
      <c r="T32" s="2">
        <f>SUM(T29:T31)</f>
        <v>2983</v>
      </c>
      <c r="U32" s="2">
        <f>SUM(U29:U31)</f>
        <v>2662</v>
      </c>
      <c r="V32" s="2">
        <f>SUM(V29:V31)</f>
        <v>2508</v>
      </c>
      <c r="W32" s="1">
        <f t="shared" si="52"/>
        <v>2577</v>
      </c>
      <c r="X32" s="2">
        <f>SUM(X29:X31)</f>
        <v>2576</v>
      </c>
      <c r="Y32" s="2">
        <f>SUM(Y29:Y31)</f>
        <v>2416</v>
      </c>
      <c r="Z32" s="2">
        <f>SUM(Z29:Z31)</f>
        <v>3563</v>
      </c>
    </row>
    <row r="34" spans="2:35" x14ac:dyDescent="0.35">
      <c r="B34" t="s">
        <v>8</v>
      </c>
      <c r="D34" s="2">
        <f>D26-D32</f>
        <v>52566.236712628284</v>
      </c>
      <c r="E34" s="2">
        <f>E26-E32</f>
        <v>32972</v>
      </c>
      <c r="F34" s="2">
        <f t="shared" ref="F34:G34" si="58">F26-F32</f>
        <v>4224</v>
      </c>
      <c r="G34" s="2">
        <f t="shared" si="58"/>
        <v>10041</v>
      </c>
      <c r="O34" s="2">
        <f t="shared" ref="O34:R34" si="59">O26-O32</f>
        <v>14223.535288776242</v>
      </c>
      <c r="P34" s="2">
        <f t="shared" si="59"/>
        <v>13476.983162382467</v>
      </c>
      <c r="Q34" s="2">
        <f t="shared" si="59"/>
        <v>14479.12258898656</v>
      </c>
      <c r="R34" s="2">
        <f t="shared" si="59"/>
        <v>10386.595672483014</v>
      </c>
      <c r="S34" s="2">
        <f t="shared" ref="S34:W34" si="60">S26-S32</f>
        <v>13615</v>
      </c>
      <c r="T34" s="2">
        <f t="shared" si="60"/>
        <v>10417</v>
      </c>
      <c r="U34" s="2">
        <f t="shared" si="60"/>
        <v>6800</v>
      </c>
      <c r="V34" s="2">
        <f t="shared" si="60"/>
        <v>2140</v>
      </c>
      <c r="W34" s="2">
        <f t="shared" si="60"/>
        <v>1256</v>
      </c>
      <c r="X34" s="2">
        <f t="shared" ref="X34:Z34" si="61">X26-X32</f>
        <v>601</v>
      </c>
      <c r="Y34" s="2">
        <f t="shared" si="61"/>
        <v>499</v>
      </c>
      <c r="Z34" s="2">
        <f t="shared" si="61"/>
        <v>1868</v>
      </c>
    </row>
    <row r="36" spans="2:35" x14ac:dyDescent="0.35">
      <c r="B36" t="s">
        <v>9</v>
      </c>
      <c r="D36" s="2">
        <f t="shared" si="48"/>
        <v>0</v>
      </c>
      <c r="E36" s="37">
        <v>866</v>
      </c>
      <c r="F36" s="37">
        <v>267</v>
      </c>
      <c r="G36" s="37">
        <v>29</v>
      </c>
      <c r="S36" s="1">
        <f t="shared" ref="S36:S39" si="62">E36-SUM(T36:V36)</f>
        <v>295</v>
      </c>
      <c r="T36" s="37">
        <v>234</v>
      </c>
      <c r="U36" s="37">
        <v>187</v>
      </c>
      <c r="V36" s="37">
        <v>150</v>
      </c>
      <c r="W36" s="1">
        <f t="shared" ref="W36:W39" si="63">F36-SUM(X36:Z36)</f>
        <v>115</v>
      </c>
      <c r="X36" s="37">
        <v>88</v>
      </c>
      <c r="Y36" s="37">
        <v>46</v>
      </c>
      <c r="Z36" s="37">
        <v>18</v>
      </c>
    </row>
    <row r="37" spans="2:35" x14ac:dyDescent="0.35">
      <c r="B37" t="s">
        <v>10</v>
      </c>
      <c r="D37" s="2">
        <f t="shared" si="48"/>
        <v>0</v>
      </c>
      <c r="E37" s="37">
        <v>-257</v>
      </c>
      <c r="F37" s="37">
        <v>-262</v>
      </c>
      <c r="G37" s="37">
        <v>-236</v>
      </c>
      <c r="S37" s="1">
        <f t="shared" si="62"/>
        <v>-63</v>
      </c>
      <c r="T37" s="37">
        <v>-63</v>
      </c>
      <c r="U37" s="37">
        <v>-65</v>
      </c>
      <c r="V37" s="37">
        <v>-66</v>
      </c>
      <c r="W37" s="1">
        <f t="shared" si="63"/>
        <v>-64</v>
      </c>
      <c r="X37" s="37">
        <v>-65</v>
      </c>
      <c r="Y37" s="37">
        <v>-65</v>
      </c>
      <c r="Z37" s="37">
        <v>-68</v>
      </c>
    </row>
    <row r="38" spans="2:35" x14ac:dyDescent="0.35">
      <c r="B38" s="3" t="s">
        <v>11</v>
      </c>
      <c r="C38" s="3"/>
      <c r="D38" s="4">
        <f t="shared" si="48"/>
        <v>0</v>
      </c>
      <c r="E38" s="27">
        <v>237</v>
      </c>
      <c r="F38" s="27">
        <v>-48</v>
      </c>
      <c r="G38" s="27">
        <v>107</v>
      </c>
      <c r="O38" s="3"/>
      <c r="P38" s="3"/>
      <c r="Q38" s="3"/>
      <c r="R38" s="3"/>
      <c r="S38" s="16">
        <f t="shared" si="62"/>
        <v>259</v>
      </c>
      <c r="T38" s="27">
        <v>-66</v>
      </c>
      <c r="U38" s="27">
        <v>59</v>
      </c>
      <c r="V38" s="27">
        <v>-15</v>
      </c>
      <c r="W38" s="16">
        <f t="shared" si="63"/>
        <v>-19</v>
      </c>
      <c r="X38" s="27">
        <v>-11</v>
      </c>
      <c r="Y38" s="27">
        <v>-5</v>
      </c>
      <c r="Z38" s="27">
        <v>-13</v>
      </c>
    </row>
    <row r="39" spans="2:35" x14ac:dyDescent="0.35">
      <c r="B39" t="s">
        <v>12</v>
      </c>
      <c r="D39" s="2">
        <f t="shared" si="48"/>
        <v>846</v>
      </c>
      <c r="E39" s="2">
        <f>SUM(E36:E38)</f>
        <v>846</v>
      </c>
      <c r="F39" s="2">
        <f t="shared" ref="F39:G39" si="64">SUM(F36:F38)</f>
        <v>-43</v>
      </c>
      <c r="G39" s="2">
        <f t="shared" si="64"/>
        <v>-100</v>
      </c>
      <c r="O39" s="49">
        <f t="shared" ref="O39:P39" si="65">P39</f>
        <v>211.5</v>
      </c>
      <c r="P39" s="49">
        <f t="shared" si="65"/>
        <v>211.5</v>
      </c>
      <c r="Q39" s="49">
        <f>R39</f>
        <v>211.5</v>
      </c>
      <c r="R39" s="49">
        <f>AVERAGE(S39:V39)</f>
        <v>211.5</v>
      </c>
      <c r="S39" s="1">
        <f t="shared" si="62"/>
        <v>491</v>
      </c>
      <c r="T39" s="2">
        <f>SUM(T36:T38)</f>
        <v>105</v>
      </c>
      <c r="U39" s="2">
        <f>SUM(U36:U38)</f>
        <v>181</v>
      </c>
      <c r="V39" s="2">
        <f>SUM(V36:V38)</f>
        <v>69</v>
      </c>
      <c r="W39" s="1">
        <f t="shared" si="63"/>
        <v>32</v>
      </c>
      <c r="X39" s="2">
        <f>SUM(X36:X38)</f>
        <v>12</v>
      </c>
      <c r="Y39" s="2">
        <f>SUM(Y36:Y38)</f>
        <v>-24</v>
      </c>
      <c r="Z39" s="2">
        <f>SUM(Z36:Z38)</f>
        <v>-63</v>
      </c>
    </row>
    <row r="41" spans="2:35" x14ac:dyDescent="0.35">
      <c r="B41" t="s">
        <v>13</v>
      </c>
      <c r="D41" s="2">
        <f>D34+D39</f>
        <v>53412.236712628284</v>
      </c>
      <c r="E41" s="2">
        <f>E34+E39</f>
        <v>33818</v>
      </c>
      <c r="F41" s="2">
        <f t="shared" ref="F41:G41" si="66">F34+F39</f>
        <v>4181</v>
      </c>
      <c r="G41" s="2">
        <f t="shared" si="66"/>
        <v>9941</v>
      </c>
      <c r="O41" s="2">
        <f t="shared" ref="O41:R41" si="67">O34+O39</f>
        <v>14435.035288776242</v>
      </c>
      <c r="P41" s="2">
        <f t="shared" si="67"/>
        <v>13688.483162382467</v>
      </c>
      <c r="Q41" s="2">
        <f t="shared" si="67"/>
        <v>14690.62258898656</v>
      </c>
      <c r="R41" s="2">
        <f t="shared" si="67"/>
        <v>10598.095672483014</v>
      </c>
      <c r="S41" s="2">
        <f t="shared" ref="S41:W41" si="68">S34+S39</f>
        <v>14106</v>
      </c>
      <c r="T41" s="2">
        <f t="shared" si="68"/>
        <v>10522</v>
      </c>
      <c r="U41" s="2">
        <f t="shared" si="68"/>
        <v>6981</v>
      </c>
      <c r="V41" s="2">
        <f t="shared" si="68"/>
        <v>2209</v>
      </c>
      <c r="W41" s="2">
        <f t="shared" si="68"/>
        <v>1288</v>
      </c>
      <c r="X41" s="2">
        <f t="shared" ref="X41:Z41" si="69">X34+X39</f>
        <v>613</v>
      </c>
      <c r="Y41" s="2">
        <f t="shared" si="69"/>
        <v>475</v>
      </c>
      <c r="Z41" s="2">
        <f t="shared" si="69"/>
        <v>1805</v>
      </c>
    </row>
    <row r="42" spans="2:35" x14ac:dyDescent="0.35">
      <c r="E42" s="2"/>
      <c r="F42" s="2"/>
      <c r="G42" s="2"/>
      <c r="AB42" s="21" t="s">
        <v>67</v>
      </c>
      <c r="AC42" s="11"/>
      <c r="AD42" s="11"/>
      <c r="AE42" s="11"/>
      <c r="AF42" s="11"/>
      <c r="AG42" s="11"/>
      <c r="AH42" s="11"/>
      <c r="AI42" s="11"/>
    </row>
    <row r="43" spans="2:35" x14ac:dyDescent="0.35">
      <c r="B43" t="s">
        <v>14</v>
      </c>
      <c r="D43" s="30">
        <f>SUM(O43:R43)</f>
        <v>6891.4129318717905</v>
      </c>
      <c r="E43" s="37">
        <v>4058</v>
      </c>
      <c r="F43" s="37">
        <v>-187</v>
      </c>
      <c r="G43" s="37">
        <v>189</v>
      </c>
      <c r="O43" s="49">
        <f t="shared" ref="O43:Q43" si="70">$AB$43*O41</f>
        <v>1862.4531564988488</v>
      </c>
      <c r="P43" s="49">
        <f t="shared" si="70"/>
        <v>1766.1306788271722</v>
      </c>
      <c r="Q43" s="49">
        <f t="shared" si="70"/>
        <v>1895.4298250358388</v>
      </c>
      <c r="R43" s="49">
        <f>$AB$43*R41</f>
        <v>1367.3992715099309</v>
      </c>
      <c r="S43" s="1">
        <f t="shared" ref="S43" si="71">E43-SUM(T43:V43)</f>
        <v>1820</v>
      </c>
      <c r="T43" s="37">
        <v>1279</v>
      </c>
      <c r="U43" s="37">
        <v>793</v>
      </c>
      <c r="V43" s="37">
        <v>166</v>
      </c>
      <c r="W43" s="1">
        <f t="shared" ref="W43" si="72">F43-SUM(X43:Z43)</f>
        <v>-126</v>
      </c>
      <c r="X43" s="37">
        <v>-67</v>
      </c>
      <c r="Y43" s="37">
        <v>-181</v>
      </c>
      <c r="Z43" s="37">
        <v>187</v>
      </c>
      <c r="AB43" s="19">
        <f>S43/S41</f>
        <v>0.12902311073302142</v>
      </c>
      <c r="AC43" s="19">
        <f t="shared" ref="AC43:AI43" si="73">T43/T41</f>
        <v>0.12155483748336818</v>
      </c>
      <c r="AD43" s="19">
        <f t="shared" si="73"/>
        <v>0.11359404096834265</v>
      </c>
      <c r="AE43" s="19">
        <f t="shared" si="73"/>
        <v>7.5147125396106837E-2</v>
      </c>
      <c r="AF43" s="19">
        <f t="shared" si="73"/>
        <v>-9.7826086956521743E-2</v>
      </c>
      <c r="AG43" s="19">
        <f t="shared" si="73"/>
        <v>-0.10929853181076672</v>
      </c>
      <c r="AH43" s="19">
        <f t="shared" si="73"/>
        <v>-0.38105263157894737</v>
      </c>
      <c r="AI43" s="19">
        <f t="shared" si="73"/>
        <v>0.10360110803324099</v>
      </c>
    </row>
    <row r="45" spans="2:35" x14ac:dyDescent="0.35">
      <c r="B45" t="s">
        <v>15</v>
      </c>
      <c r="D45" s="2">
        <f>D41-D43</f>
        <v>46520.823780756495</v>
      </c>
      <c r="E45" s="2">
        <f>E41-E43</f>
        <v>29760</v>
      </c>
      <c r="F45" s="2">
        <f t="shared" ref="F45:G45" si="74">F41-F43</f>
        <v>4368</v>
      </c>
      <c r="G45" s="2">
        <f t="shared" si="74"/>
        <v>9752</v>
      </c>
      <c r="O45" s="2">
        <f t="shared" ref="O45:R45" si="75">O41-O43</f>
        <v>12572.582132277394</v>
      </c>
      <c r="P45" s="2">
        <f t="shared" si="75"/>
        <v>11922.352483555294</v>
      </c>
      <c r="Q45" s="2">
        <f t="shared" si="75"/>
        <v>12795.192763950721</v>
      </c>
      <c r="R45" s="2">
        <f t="shared" si="75"/>
        <v>9230.6964009730837</v>
      </c>
      <c r="S45" s="2">
        <f t="shared" ref="S45:Z45" si="76">S41-S43</f>
        <v>12286</v>
      </c>
      <c r="T45" s="2">
        <f t="shared" si="76"/>
        <v>9243</v>
      </c>
      <c r="U45" s="2">
        <f t="shared" si="76"/>
        <v>6188</v>
      </c>
      <c r="V45" s="2">
        <f t="shared" si="76"/>
        <v>2043</v>
      </c>
      <c r="W45" s="2">
        <f t="shared" si="76"/>
        <v>1414</v>
      </c>
      <c r="X45" s="2">
        <f t="shared" si="76"/>
        <v>680</v>
      </c>
      <c r="Y45" s="2">
        <f t="shared" si="76"/>
        <v>656</v>
      </c>
      <c r="Z45" s="2">
        <f t="shared" si="76"/>
        <v>1618</v>
      </c>
    </row>
    <row r="46" spans="2:35" x14ac:dyDescent="0.35">
      <c r="B46" t="s">
        <v>16</v>
      </c>
      <c r="D46" s="2">
        <f>O46</f>
        <v>2494</v>
      </c>
      <c r="E46" s="37">
        <v>2494</v>
      </c>
      <c r="F46" s="37">
        <v>2507</v>
      </c>
      <c r="G46" s="37">
        <v>2535</v>
      </c>
      <c r="O46" s="49">
        <f t="shared" ref="O46:Q46" si="77">P46</f>
        <v>2494</v>
      </c>
      <c r="P46" s="49">
        <f t="shared" si="77"/>
        <v>2494</v>
      </c>
      <c r="Q46" s="49">
        <f t="shared" si="77"/>
        <v>2494</v>
      </c>
      <c r="R46" s="49">
        <f>S46</f>
        <v>2494</v>
      </c>
      <c r="S46" s="37">
        <v>2494</v>
      </c>
      <c r="T46" s="37">
        <v>2494</v>
      </c>
      <c r="U46" s="37">
        <v>2499</v>
      </c>
      <c r="V46" s="37">
        <v>2490</v>
      </c>
      <c r="W46" s="37">
        <v>2507</v>
      </c>
      <c r="X46" s="37">
        <v>2499</v>
      </c>
      <c r="Y46" s="37">
        <v>2516</v>
      </c>
      <c r="Z46" s="37">
        <v>2506</v>
      </c>
    </row>
    <row r="47" spans="2:35" x14ac:dyDescent="0.35">
      <c r="B47" t="s">
        <v>17</v>
      </c>
      <c r="D47" s="6">
        <f t="shared" ref="D47:G47" si="78">D45/D46</f>
        <v>18.653096944970528</v>
      </c>
      <c r="E47" s="33">
        <f>E45/E46</f>
        <v>11.932638331996792</v>
      </c>
      <c r="F47" s="6">
        <f t="shared" si="78"/>
        <v>1.7423214998005585</v>
      </c>
      <c r="G47" s="6">
        <f t="shared" si="78"/>
        <v>3.8469428007889546</v>
      </c>
      <c r="O47" s="6">
        <f t="shared" ref="O47" si="79">O45/O46</f>
        <v>5.0411315686757794</v>
      </c>
      <c r="P47" s="6">
        <f t="shared" ref="P47" si="80">P45/P46</f>
        <v>4.7804139869908955</v>
      </c>
      <c r="Q47" s="6">
        <f t="shared" ref="Q47" si="81">Q45/Q46</f>
        <v>5.1303900416803216</v>
      </c>
      <c r="R47" s="6">
        <f t="shared" ref="R47" si="82">R45/R46</f>
        <v>3.7011613476235299</v>
      </c>
      <c r="S47" s="6">
        <f t="shared" ref="S47:W47" si="83">S45/S46</f>
        <v>4.9262229350441062</v>
      </c>
      <c r="T47" s="6">
        <f t="shared" si="83"/>
        <v>3.7060946271050521</v>
      </c>
      <c r="U47" s="6">
        <f t="shared" si="83"/>
        <v>2.4761904761904763</v>
      </c>
      <c r="V47" s="6">
        <f t="shared" si="83"/>
        <v>0.82048192771084338</v>
      </c>
      <c r="W47" s="6">
        <f t="shared" si="83"/>
        <v>0.56402074192261664</v>
      </c>
      <c r="X47" s="6">
        <f t="shared" ref="X47:Z47" si="84">X45/X46</f>
        <v>0.27210884353741499</v>
      </c>
      <c r="Y47" s="6">
        <f t="shared" si="84"/>
        <v>0.26073131955484896</v>
      </c>
      <c r="Z47" s="6">
        <f t="shared" si="84"/>
        <v>0.64565043894652829</v>
      </c>
    </row>
    <row r="49" spans="2:7" x14ac:dyDescent="0.35">
      <c r="B49" t="s">
        <v>18</v>
      </c>
      <c r="D49" s="2">
        <f>D51*D47</f>
        <v>932.65484724852638</v>
      </c>
      <c r="E49">
        <v>800</v>
      </c>
      <c r="F49">
        <v>233</v>
      </c>
      <c r="G49">
        <v>242</v>
      </c>
    </row>
    <row r="51" spans="2:7" x14ac:dyDescent="0.35">
      <c r="B51" s="22" t="s">
        <v>26</v>
      </c>
      <c r="C51" s="22"/>
      <c r="D51" s="48">
        <v>50</v>
      </c>
      <c r="E51" s="23">
        <f>E49/E47</f>
        <v>67.043010752688176</v>
      </c>
      <c r="F51" s="23">
        <f>F49/F47</f>
        <v>133.72962454212453</v>
      </c>
      <c r="G51" s="23">
        <f>G49/G47</f>
        <v>62.90709598031173</v>
      </c>
    </row>
    <row r="53" spans="2:7" x14ac:dyDescent="0.35">
      <c r="B53" s="8" t="s">
        <v>19</v>
      </c>
      <c r="C53" s="8"/>
      <c r="D53" s="8"/>
    </row>
    <row r="54" spans="2:7" x14ac:dyDescent="0.35">
      <c r="B54" t="s">
        <v>20</v>
      </c>
      <c r="E54" s="37">
        <v>7280</v>
      </c>
      <c r="F54" s="37">
        <v>3389</v>
      </c>
      <c r="G54" s="37">
        <v>1990</v>
      </c>
    </row>
    <row r="55" spans="2:7" x14ac:dyDescent="0.35">
      <c r="B55" t="s">
        <v>21</v>
      </c>
      <c r="E55" s="37">
        <v>18704</v>
      </c>
      <c r="F55" s="37">
        <v>9907</v>
      </c>
      <c r="G55" s="37">
        <v>19218</v>
      </c>
    </row>
    <row r="56" spans="2:7" x14ac:dyDescent="0.35">
      <c r="B56" t="s">
        <v>22</v>
      </c>
      <c r="E56" s="37">
        <v>1250</v>
      </c>
      <c r="F56" s="37">
        <v>1250</v>
      </c>
      <c r="G56" s="37">
        <v>0</v>
      </c>
    </row>
    <row r="57" spans="2:7" x14ac:dyDescent="0.35">
      <c r="B57" t="s">
        <v>23</v>
      </c>
      <c r="E57" s="37">
        <v>8459</v>
      </c>
      <c r="F57" s="37">
        <v>9703</v>
      </c>
      <c r="G57" s="37">
        <v>10946</v>
      </c>
    </row>
    <row r="58" spans="2:7" x14ac:dyDescent="0.35">
      <c r="B58" s="3" t="s">
        <v>24</v>
      </c>
      <c r="C58" s="3"/>
      <c r="D58" s="3"/>
      <c r="E58" s="27">
        <v>1119</v>
      </c>
      <c r="F58" s="27">
        <v>902</v>
      </c>
      <c r="G58" s="27">
        <v>741</v>
      </c>
    </row>
    <row r="59" spans="2:7" x14ac:dyDescent="0.35">
      <c r="B59" t="s">
        <v>25</v>
      </c>
      <c r="D59" s="30">
        <f>AVERAGE(E59:F59)</f>
        <v>-8298.5</v>
      </c>
      <c r="E59" s="2">
        <f>E58+E57+E56-E55-E54</f>
        <v>-15156</v>
      </c>
      <c r="F59" s="2">
        <f>F58+F57+F56-F55-F54</f>
        <v>-1441</v>
      </c>
      <c r="G59" s="2">
        <f>G58+G57+G56-G55-G54</f>
        <v>-9521</v>
      </c>
    </row>
    <row r="61" spans="2:7" x14ac:dyDescent="0.35">
      <c r="B61" t="s">
        <v>28</v>
      </c>
      <c r="D61" s="2">
        <f>D49*D46</f>
        <v>2326041.189037825</v>
      </c>
      <c r="E61" s="2">
        <f>E49*E46</f>
        <v>1995200</v>
      </c>
      <c r="F61" s="2">
        <f>F49*F46</f>
        <v>584131</v>
      </c>
      <c r="G61" s="2">
        <f>G49*G46</f>
        <v>613470</v>
      </c>
    </row>
    <row r="62" spans="2:7" x14ac:dyDescent="0.35">
      <c r="B62" t="s">
        <v>27</v>
      </c>
      <c r="D62" s="2">
        <f>D61+D59</f>
        <v>2317742.689037825</v>
      </c>
      <c r="E62" s="2">
        <f>E61+E59</f>
        <v>1980044</v>
      </c>
      <c r="F62" s="2">
        <f>F61+F59</f>
        <v>582690</v>
      </c>
      <c r="G62" s="2">
        <f>G61+G59</f>
        <v>603949</v>
      </c>
    </row>
    <row r="64" spans="2:7" x14ac:dyDescent="0.35">
      <c r="B64" t="s">
        <v>8</v>
      </c>
      <c r="D64" s="2">
        <f>D34</f>
        <v>52566.236712628284</v>
      </c>
      <c r="E64" s="2">
        <f>E34</f>
        <v>32972</v>
      </c>
      <c r="F64" s="2">
        <f t="shared" ref="F64:G64" si="85">F34</f>
        <v>4224</v>
      </c>
      <c r="G64" s="2">
        <f t="shared" si="85"/>
        <v>10041</v>
      </c>
    </row>
    <row r="65" spans="2:7" x14ac:dyDescent="0.35">
      <c r="B65" t="s">
        <v>31</v>
      </c>
      <c r="D65" s="30">
        <f>E65/E64*D64</f>
        <v>5658.0605996942195</v>
      </c>
      <c r="E65" s="37">
        <v>3549</v>
      </c>
      <c r="F65" s="37">
        <v>2710</v>
      </c>
      <c r="G65" s="37">
        <v>2004</v>
      </c>
    </row>
    <row r="66" spans="2:7" x14ac:dyDescent="0.35">
      <c r="B66" t="s">
        <v>30</v>
      </c>
      <c r="E66" s="2">
        <f>E31</f>
        <v>0</v>
      </c>
      <c r="F66" s="2">
        <f t="shared" ref="F66:G66" si="86">F31</f>
        <v>1353</v>
      </c>
      <c r="G66" s="2">
        <f t="shared" si="86"/>
        <v>0</v>
      </c>
    </row>
    <row r="67" spans="2:7" x14ac:dyDescent="0.35">
      <c r="B67" s="3" t="s">
        <v>29</v>
      </c>
      <c r="C67" s="3"/>
      <c r="D67" s="32">
        <v>2000</v>
      </c>
      <c r="E67" s="27">
        <v>1508</v>
      </c>
      <c r="F67" s="27">
        <v>1544</v>
      </c>
      <c r="G67" s="27">
        <v>1174</v>
      </c>
    </row>
    <row r="68" spans="2:7" x14ac:dyDescent="0.35">
      <c r="B68" t="s">
        <v>59</v>
      </c>
      <c r="D68" s="2">
        <f>SUM(D64:D67)</f>
        <v>60224.297312322502</v>
      </c>
      <c r="E68" s="2">
        <f>SUM(E64:E67)</f>
        <v>38029</v>
      </c>
      <c r="F68" s="2">
        <f t="shared" ref="F68:G68" si="87">SUM(F64:F67)</f>
        <v>9831</v>
      </c>
      <c r="G68" s="2">
        <f t="shared" si="87"/>
        <v>13219</v>
      </c>
    </row>
    <row r="70" spans="2:7" x14ac:dyDescent="0.35">
      <c r="B70" s="22" t="s">
        <v>60</v>
      </c>
      <c r="C70" s="22"/>
      <c r="D70" s="23">
        <f>D62/D68</f>
        <v>38.485176124480766</v>
      </c>
      <c r="E70" s="23">
        <f>E62/E68</f>
        <v>52.066685950195904</v>
      </c>
      <c r="F70" s="23">
        <f t="shared" ref="F70:G70" si="88">F62/F68</f>
        <v>59.270674397314615</v>
      </c>
      <c r="G70" s="23">
        <f t="shared" si="88"/>
        <v>45.687949164082006</v>
      </c>
    </row>
    <row r="71" spans="2:7" x14ac:dyDescent="0.35">
      <c r="E71" s="13">
        <f>AVERAGE(F70:G70)</f>
        <v>52.47931178069831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1D22-0FEA-4974-98F2-4A634D739F7A}">
  <dimension ref="C3:C16"/>
  <sheetViews>
    <sheetView workbookViewId="0"/>
  </sheetViews>
  <sheetFormatPr defaultRowHeight="14.5" x14ac:dyDescent="0.35"/>
  <sheetData>
    <row r="3" spans="3:3" x14ac:dyDescent="0.35">
      <c r="C3" t="s">
        <v>50</v>
      </c>
    </row>
    <row r="4" spans="3:3" x14ac:dyDescent="0.35">
      <c r="C4" t="s">
        <v>44</v>
      </c>
    </row>
    <row r="5" spans="3:3" x14ac:dyDescent="0.35">
      <c r="C5" t="s">
        <v>45</v>
      </c>
    </row>
    <row r="6" spans="3:3" x14ac:dyDescent="0.35">
      <c r="C6" t="s">
        <v>43</v>
      </c>
    </row>
    <row r="9" spans="3:3" x14ac:dyDescent="0.35">
      <c r="C9" t="s">
        <v>51</v>
      </c>
    </row>
    <row r="10" spans="3:3" x14ac:dyDescent="0.35">
      <c r="C10" t="s">
        <v>52</v>
      </c>
    </row>
    <row r="11" spans="3:3" x14ac:dyDescent="0.35">
      <c r="C11" t="s">
        <v>53</v>
      </c>
    </row>
    <row r="14" spans="3:3" x14ac:dyDescent="0.35">
      <c r="C14" t="s">
        <v>69</v>
      </c>
    </row>
    <row r="15" spans="3:3" x14ac:dyDescent="0.35">
      <c r="C15" t="s">
        <v>70</v>
      </c>
    </row>
    <row r="16" spans="3:3" x14ac:dyDescent="0.35">
      <c r="C16" s="36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18F4-2BBE-4D50-AA51-88C65630A6DB}">
  <dimension ref="B1:I19"/>
  <sheetViews>
    <sheetView workbookViewId="0">
      <selection activeCell="B2" sqref="B2"/>
    </sheetView>
  </sheetViews>
  <sheetFormatPr defaultRowHeight="14.5" x14ac:dyDescent="0.35"/>
  <sheetData>
    <row r="1" spans="2:9" x14ac:dyDescent="0.35">
      <c r="B1" s="7" t="s">
        <v>94</v>
      </c>
    </row>
    <row r="3" spans="2:9" x14ac:dyDescent="0.35">
      <c r="B3" s="7" t="s">
        <v>86</v>
      </c>
    </row>
    <row r="4" spans="2:9" x14ac:dyDescent="0.35">
      <c r="B4" s="5" t="s">
        <v>93</v>
      </c>
    </row>
    <row r="5" spans="2:9" x14ac:dyDescent="0.35">
      <c r="B5" s="3"/>
      <c r="C5" s="3"/>
      <c r="D5" s="3">
        <v>2023</v>
      </c>
      <c r="E5" s="3">
        <v>2022</v>
      </c>
      <c r="F5" s="3">
        <v>2021</v>
      </c>
      <c r="G5" s="3">
        <v>2020</v>
      </c>
    </row>
    <row r="7" spans="2:9" x14ac:dyDescent="0.35">
      <c r="B7" t="s">
        <v>0</v>
      </c>
      <c r="D7" s="44">
        <v>22.68</v>
      </c>
      <c r="E7" s="44">
        <v>23.6</v>
      </c>
      <c r="F7" s="44">
        <v>16.434000000000001</v>
      </c>
      <c r="G7" s="44">
        <f>F7/1.6833</f>
        <v>9.7629656032792731</v>
      </c>
      <c r="I7">
        <f>(D7/F7)^(1/2)-1</f>
        <v>0.17476198330347548</v>
      </c>
    </row>
    <row r="9" spans="2:9" x14ac:dyDescent="0.35">
      <c r="B9" t="s">
        <v>15</v>
      </c>
      <c r="D9" s="45">
        <v>0.85399999999999998</v>
      </c>
      <c r="E9" s="45">
        <v>1.32</v>
      </c>
      <c r="F9" s="45">
        <v>3.1619999999999999</v>
      </c>
      <c r="G9" s="45">
        <f>F9/(1-0.2699)</f>
        <v>4.3309135734830848</v>
      </c>
    </row>
    <row r="11" spans="2:9" x14ac:dyDescent="0.35">
      <c r="B11" t="s">
        <v>17</v>
      </c>
      <c r="D11">
        <v>0.53</v>
      </c>
      <c r="E11">
        <v>0.84</v>
      </c>
      <c r="F11">
        <v>2.57</v>
      </c>
    </row>
    <row r="13" spans="2:9" x14ac:dyDescent="0.35">
      <c r="B13" t="s">
        <v>87</v>
      </c>
      <c r="D13">
        <v>177.66</v>
      </c>
      <c r="E13">
        <v>86.09</v>
      </c>
      <c r="F13">
        <v>123.6</v>
      </c>
    </row>
    <row r="15" spans="2:9" x14ac:dyDescent="0.35">
      <c r="B15" s="22" t="s">
        <v>26</v>
      </c>
      <c r="C15" s="22"/>
      <c r="D15" s="23">
        <f>D13/D11</f>
        <v>335.20754716981128</v>
      </c>
      <c r="E15" s="23">
        <f t="shared" ref="E15:F15" si="0">E13/E11</f>
        <v>102.48809523809524</v>
      </c>
      <c r="F15" s="23">
        <f t="shared" si="0"/>
        <v>48.093385214007782</v>
      </c>
    </row>
    <row r="17" spans="2:5" x14ac:dyDescent="0.35">
      <c r="B17" t="s">
        <v>88</v>
      </c>
      <c r="D17">
        <v>0.77</v>
      </c>
      <c r="E17">
        <v>0.69</v>
      </c>
    </row>
    <row r="19" spans="2:5" x14ac:dyDescent="0.35">
      <c r="B19" s="22" t="s">
        <v>26</v>
      </c>
      <c r="C19" s="22"/>
      <c r="D19" s="23">
        <f>D13/D17</f>
        <v>230.72727272727272</v>
      </c>
      <c r="E19" s="23">
        <f>E13/E17</f>
        <v>124.768115942029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Nvidia</vt:lpstr>
      <vt:lpstr>Nvidia Customer Concentration</vt:lpstr>
      <vt:lpstr>Competitor Multiples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 Rajagopal</dc:creator>
  <cp:lastModifiedBy>Kash Rajagopal</cp:lastModifiedBy>
  <dcterms:created xsi:type="dcterms:W3CDTF">2024-02-23T18:53:17Z</dcterms:created>
  <dcterms:modified xsi:type="dcterms:W3CDTF">2024-02-26T20:48:05Z</dcterms:modified>
</cp:coreProperties>
</file>